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0700" windowHeight="11160" tabRatio="838"/>
  </bookViews>
  <sheets>
    <sheet name="10.1 P Inst" sheetId="31086" r:id="rId1"/>
    <sheet name="10.2 Efect" sheetId="31087" r:id="rId2"/>
    <sheet name="10.3 Incre PI" sheetId="2" r:id="rId3"/>
    <sheet name="10.4 Prod" sheetId="31088" r:id="rId4"/>
    <sheet name="10.5 Lineas" sheetId="31089" r:id="rId5"/>
    <sheet name="10.6 Ventas" sheetId="31076" r:id="rId6"/>
    <sheet name="10.7 Facturacion" sheetId="31063" r:id="rId7"/>
    <sheet name="10.8 Precio medio" sheetId="31077" r:id="rId8"/>
    <sheet name="10.9 Ventas-CIIU" sheetId="31060" r:id="rId9"/>
    <sheet name="10.10 Fact-CIIU" sheetId="31065" r:id="rId10"/>
    <sheet name="10.11  Prec med- CIIU" sheetId="31078" r:id="rId11"/>
    <sheet name="10.12 Consumo" sheetId="31067" r:id="rId12"/>
    <sheet name="10.13 Clientes" sheetId="1049" r:id="rId13"/>
    <sheet name="10.15 Perd y MD" sheetId="31079" r:id="rId14"/>
    <sheet name="10.17.1Inversiones" sheetId="31090" r:id="rId15"/>
    <sheet name="10.17.2 Inversion Privada " sheetId="31091" r:id="rId16"/>
    <sheet name="10.17.3 y 4 Publica y Gub. " sheetId="31092" r:id="rId17"/>
    <sheet name="10.17.5 Evo.Graficos " sheetId="31093" r:id="rId18"/>
    <sheet name="10.18 CMg" sheetId="31095" r:id="rId19"/>
  </sheets>
  <externalReferences>
    <externalReference r:id="rId20"/>
  </externalReferences>
  <definedNames>
    <definedName name="_xlnm._FilterDatabase" localSheetId="15" hidden="1">'10.17.2 Inversion Privada '!$A$3:$AH$102</definedName>
    <definedName name="_xlnm.Print_Area" localSheetId="0">'10.1 P Inst'!$A$1:$O$96</definedName>
    <definedName name="_xlnm.Print_Area" localSheetId="9">'10.10 Fact-CIIU'!$A$1:$H$64</definedName>
    <definedName name="_xlnm.Print_Area" localSheetId="10">'10.11  Prec med- CIIU'!$A$1:$H$67</definedName>
    <definedName name="_xlnm.Print_Area" localSheetId="11">'10.12 Consumo'!$A$1:$H$87</definedName>
    <definedName name="_xlnm.Print_Area" localSheetId="12">'10.13 Clientes'!$A$1:$P$89</definedName>
    <definedName name="_xlnm.Print_Area" localSheetId="13">'10.15 Perd y MD'!$A$1:$P$102</definedName>
    <definedName name="_xlnm.Print_Area" localSheetId="14">'10.17.1Inversiones'!$A$1:$P$111</definedName>
    <definedName name="_xlnm.Print_Area" localSheetId="15">'10.17.2 Inversion Privada '!$A$1:$AG$102,'10.17.2 Inversion Privada '!$A$104:$AG$155</definedName>
    <definedName name="_xlnm.Print_Area" localSheetId="16">'10.17.3 y 4 Publica y Gub. '!$A$1:$AG$50</definedName>
    <definedName name="_xlnm.Print_Area" localSheetId="17">'10.17.5 Evo.Graficos '!$A$1:$AF$226</definedName>
    <definedName name="_xlnm.Print_Area" localSheetId="18">'10.18 CMg'!$A$1:$N$41</definedName>
    <definedName name="_xlnm.Print_Area" localSheetId="1">'10.2 Efect'!$A$1:$O$94</definedName>
    <definedName name="_xlnm.Print_Area" localSheetId="2">'10.3 Incre PI'!$A$1:$P$65</definedName>
    <definedName name="_xlnm.Print_Area" localSheetId="3">'10.4 Prod'!$A$1:$O$97</definedName>
    <definedName name="_xlnm.Print_Area" localSheetId="4">'10.5 Lineas'!$A$1:$H$65</definedName>
    <definedName name="_xlnm.Print_Area" localSheetId="5">'10.6 Ventas'!$A$1:$K$85</definedName>
    <definedName name="_xlnm.Print_Area" localSheetId="6">'10.7 Facturacion'!$A$1:$K$86</definedName>
    <definedName name="_xlnm.Print_Area" localSheetId="7">'10.8 Precio medio'!$A$1:$K$83</definedName>
    <definedName name="_xlnm.Print_Area" localSheetId="8">'10.9 Ventas-CIIU'!$A$1:$L$64</definedName>
    <definedName name="AYACUCHO" localSheetId="0">[1]X_DEPA!#REF!</definedName>
    <definedName name="AYACUCHO" localSheetId="3">[1]X_DEPA!#REF!</definedName>
    <definedName name="AYACUCHO">[1]X_DEPA!#REF!</definedName>
    <definedName name="LIMA_I" localSheetId="0">[1]X_DEPA!#REF!</definedName>
    <definedName name="LIMA_I" localSheetId="3">[1]X_DEPA!#REF!</definedName>
    <definedName name="LIMA_I">[1]X_DEPA!#REF!</definedName>
    <definedName name="LIMA_II" localSheetId="0">[1]X_DEPA!#REF!</definedName>
    <definedName name="LIMA_II" localSheetId="3">[1]X_DEPA!#REF!</definedName>
    <definedName name="LIMA_II">[1]X_DEPA!#REF!</definedName>
    <definedName name="PIURA_I" localSheetId="0">[1]X_DEPA!#REF!</definedName>
    <definedName name="PIURA_I" localSheetId="3">[1]X_DEPA!#REF!</definedName>
    <definedName name="PIURA_I">[1]X_DEPA!#REF!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31095" l="1"/>
  <c r="J12" i="31095"/>
  <c r="I12" i="31095"/>
  <c r="I11" i="31095"/>
  <c r="J10" i="31095"/>
  <c r="J9" i="31095"/>
  <c r="I10" i="31095"/>
  <c r="I9" i="31095"/>
  <c r="AE13" i="31093"/>
  <c r="AE14" i="31093"/>
  <c r="AE15" i="31093"/>
  <c r="AG39" i="31092"/>
  <c r="AF39" i="31092"/>
  <c r="AE39" i="31092"/>
  <c r="AC39" i="31092"/>
  <c r="AB39" i="31092"/>
  <c r="AA39" i="31092"/>
  <c r="Z39" i="31092"/>
  <c r="Y39" i="31092"/>
  <c r="X39" i="31092"/>
  <c r="W39" i="31092"/>
  <c r="V39" i="31092"/>
  <c r="U39" i="31092"/>
  <c r="T39" i="31092"/>
  <c r="S39" i="31092"/>
  <c r="R39" i="31092"/>
  <c r="Q39" i="31092"/>
  <c r="P39" i="31092"/>
  <c r="O39" i="31092"/>
  <c r="N39" i="31092"/>
  <c r="M39" i="31092"/>
  <c r="L39" i="31092"/>
  <c r="K39" i="31092"/>
  <c r="J39" i="31092"/>
  <c r="I39" i="31092"/>
  <c r="H39" i="31092"/>
  <c r="G39" i="31092"/>
  <c r="F39" i="31092"/>
  <c r="E39" i="31092"/>
  <c r="D39" i="31092"/>
  <c r="C39" i="31092"/>
  <c r="AD39" i="31092"/>
  <c r="AG38" i="31092"/>
  <c r="AG144" i="31091"/>
  <c r="AG143" i="31091"/>
  <c r="AG127" i="31091"/>
  <c r="AG126" i="31091"/>
  <c r="AG125" i="31091"/>
  <c r="AG124" i="31091"/>
  <c r="AG123" i="31091"/>
  <c r="AG121" i="31091"/>
  <c r="AG120" i="31091"/>
  <c r="AG119" i="31091"/>
  <c r="AG118" i="31091"/>
  <c r="BJ14" i="31093" l="1"/>
  <c r="G13" i="2" l="1"/>
  <c r="O31" i="31089"/>
  <c r="P31" i="31089"/>
  <c r="Q31" i="31089"/>
  <c r="R31" i="31089"/>
  <c r="S31" i="31089"/>
  <c r="T31" i="31089"/>
  <c r="P32" i="31089"/>
  <c r="O32" i="31089" s="1"/>
  <c r="Q32" i="31089"/>
  <c r="R32" i="31089"/>
  <c r="S32" i="31089"/>
  <c r="T32" i="31089"/>
  <c r="P33" i="31089"/>
  <c r="Q33" i="31089"/>
  <c r="R33" i="31089"/>
  <c r="S33" i="31089"/>
  <c r="T33" i="31089"/>
  <c r="H38" i="31089"/>
  <c r="H37" i="31089"/>
  <c r="H36" i="31089"/>
  <c r="H35" i="31089"/>
  <c r="G38" i="31089"/>
  <c r="G37" i="31089"/>
  <c r="G36" i="31089"/>
  <c r="G35" i="31089"/>
  <c r="F38" i="31089"/>
  <c r="F37" i="31089"/>
  <c r="F36" i="31089"/>
  <c r="F35" i="31089"/>
  <c r="E38" i="31089"/>
  <c r="E37" i="31089"/>
  <c r="E36" i="31089"/>
  <c r="E35" i="31089"/>
  <c r="D36" i="31089"/>
  <c r="D35" i="31089"/>
  <c r="C33" i="31089"/>
  <c r="C38" i="31089" s="1"/>
  <c r="S104" i="31088"/>
  <c r="T104" i="31088"/>
  <c r="S75" i="31088"/>
  <c r="T75" i="31088"/>
  <c r="U75" i="31088"/>
  <c r="V75" i="31088"/>
  <c r="V33" i="31088"/>
  <c r="O36" i="31088"/>
  <c r="O35" i="31088"/>
  <c r="O34" i="31088"/>
  <c r="O33" i="31088"/>
  <c r="N36" i="31088"/>
  <c r="N35" i="31088"/>
  <c r="N34" i="31088"/>
  <c r="N33" i="31088"/>
  <c r="M34" i="31088"/>
  <c r="I33" i="31088"/>
  <c r="J33" i="31088"/>
  <c r="K33" i="31088"/>
  <c r="L33" i="31088"/>
  <c r="I34" i="31088"/>
  <c r="J34" i="31088"/>
  <c r="K34" i="31088"/>
  <c r="L34" i="31088"/>
  <c r="I35" i="31088"/>
  <c r="J35" i="31088"/>
  <c r="I36" i="31088"/>
  <c r="J36" i="31088"/>
  <c r="H33" i="31088"/>
  <c r="F33" i="31088"/>
  <c r="F34" i="31088"/>
  <c r="G34" i="31088"/>
  <c r="E35" i="31088"/>
  <c r="M31" i="31088"/>
  <c r="M36" i="31088" s="1"/>
  <c r="H31" i="31088"/>
  <c r="H36" i="31088" s="1"/>
  <c r="G31" i="31088"/>
  <c r="G33" i="31088" s="1"/>
  <c r="F31" i="31088"/>
  <c r="U33" i="31088" s="1"/>
  <c r="E31" i="31088"/>
  <c r="E36" i="31088" s="1"/>
  <c r="D31" i="31088"/>
  <c r="D33" i="31088" s="1"/>
  <c r="S95" i="31087"/>
  <c r="T95" i="31087"/>
  <c r="S63" i="31087"/>
  <c r="T63" i="31087"/>
  <c r="U63" i="31087"/>
  <c r="V63" i="31087"/>
  <c r="O36" i="31087"/>
  <c r="O35" i="31087"/>
  <c r="O34" i="31087"/>
  <c r="O33" i="31087"/>
  <c r="N36" i="31087"/>
  <c r="N35" i="31087"/>
  <c r="N34" i="31087"/>
  <c r="N33" i="31087"/>
  <c r="I33" i="31087"/>
  <c r="J33" i="31087"/>
  <c r="K33" i="31087"/>
  <c r="L33" i="31087"/>
  <c r="I34" i="31087"/>
  <c r="J34" i="31087"/>
  <c r="K34" i="31087"/>
  <c r="L34" i="31087"/>
  <c r="I35" i="31087"/>
  <c r="J35" i="31087"/>
  <c r="I36" i="31087"/>
  <c r="J36" i="31087"/>
  <c r="M31" i="31087"/>
  <c r="R95" i="31087" s="1"/>
  <c r="H31" i="31087"/>
  <c r="R63" i="31087" s="1"/>
  <c r="G31" i="31087"/>
  <c r="V29" i="31087" s="1"/>
  <c r="F31" i="31087"/>
  <c r="U29" i="31087" s="1"/>
  <c r="E31" i="31087"/>
  <c r="T29" i="31087" s="1"/>
  <c r="D31" i="31087"/>
  <c r="W94" i="31086"/>
  <c r="X94" i="31086"/>
  <c r="W63" i="31086"/>
  <c r="X63" i="31086"/>
  <c r="Y63" i="31086"/>
  <c r="Z63" i="31086"/>
  <c r="O36" i="31086"/>
  <c r="O35" i="31086"/>
  <c r="O34" i="31086"/>
  <c r="O33" i="31086"/>
  <c r="N36" i="31086"/>
  <c r="N35" i="31086"/>
  <c r="N34" i="31086"/>
  <c r="N33" i="31086"/>
  <c r="L34" i="31086"/>
  <c r="L33" i="31086"/>
  <c r="K34" i="31086"/>
  <c r="K33" i="31086"/>
  <c r="J36" i="31086"/>
  <c r="J35" i="31086"/>
  <c r="J34" i="31086"/>
  <c r="J33" i="31086"/>
  <c r="I36" i="31086"/>
  <c r="I35" i="31086"/>
  <c r="I34" i="31086"/>
  <c r="I33" i="31086"/>
  <c r="H36" i="31086"/>
  <c r="F34" i="31086"/>
  <c r="M31" i="31086"/>
  <c r="V94" i="31086" s="1"/>
  <c r="H31" i="31086"/>
  <c r="V63" i="31086" s="1"/>
  <c r="G31" i="31086"/>
  <c r="Z29" i="31086" s="1"/>
  <c r="F31" i="31086"/>
  <c r="F33" i="31086" s="1"/>
  <c r="E31" i="31086"/>
  <c r="E36" i="31086" s="1"/>
  <c r="D31" i="31086"/>
  <c r="D35" i="31086" s="1"/>
  <c r="AE6" i="31093"/>
  <c r="AG37" i="31092"/>
  <c r="AG26" i="31092"/>
  <c r="AG27" i="31092"/>
  <c r="AG28" i="31092"/>
  <c r="AG30" i="31092"/>
  <c r="AG31" i="31092"/>
  <c r="AG32" i="31092"/>
  <c r="AG33" i="31092"/>
  <c r="AG34" i="31092"/>
  <c r="AG35" i="31092"/>
  <c r="AG36" i="31092"/>
  <c r="AG25" i="31092"/>
  <c r="AG24" i="31092"/>
  <c r="BJ60" i="31093"/>
  <c r="AF21" i="31092"/>
  <c r="AE21" i="31092"/>
  <c r="AD21" i="31092"/>
  <c r="AC21" i="31092"/>
  <c r="AB21" i="31092"/>
  <c r="AA21" i="31092"/>
  <c r="Z21" i="31092"/>
  <c r="AG18" i="31092"/>
  <c r="AG19" i="31092"/>
  <c r="AG20" i="31092"/>
  <c r="AG17" i="31092"/>
  <c r="AG16" i="31092"/>
  <c r="AG11" i="31092"/>
  <c r="AG10" i="31092"/>
  <c r="AG8" i="31092"/>
  <c r="AG9" i="31092"/>
  <c r="AG7" i="31092"/>
  <c r="AG6" i="31092"/>
  <c r="AG5" i="31092"/>
  <c r="AG4" i="31092"/>
  <c r="AF12" i="31092"/>
  <c r="BJ31" i="31093" s="1"/>
  <c r="AF146" i="31091"/>
  <c r="BJ59" i="31093" s="1"/>
  <c r="AG145" i="31091"/>
  <c r="AG133" i="31091"/>
  <c r="AG134" i="31091"/>
  <c r="AG135" i="31091"/>
  <c r="AG136" i="31091"/>
  <c r="AG137" i="31091"/>
  <c r="AG138" i="31091"/>
  <c r="AG139" i="31091"/>
  <c r="AG140" i="31091"/>
  <c r="AG141" i="31091"/>
  <c r="AG142" i="31091"/>
  <c r="AG132" i="31091"/>
  <c r="AG131" i="31091"/>
  <c r="AG108" i="31091"/>
  <c r="AG109" i="31091"/>
  <c r="AG110" i="31091"/>
  <c r="AG111" i="31091"/>
  <c r="AG112" i="31091"/>
  <c r="AG113" i="31091"/>
  <c r="AG114" i="31091"/>
  <c r="AG115" i="31091"/>
  <c r="AG116" i="31091"/>
  <c r="AG117" i="31091"/>
  <c r="AG122" i="31091"/>
  <c r="AG107" i="31091"/>
  <c r="AG106" i="31091"/>
  <c r="AF128" i="31091"/>
  <c r="BJ42" i="31093" s="1"/>
  <c r="BJ41" i="31093" s="1"/>
  <c r="AF102" i="31091"/>
  <c r="BJ30" i="31093" s="1"/>
  <c r="AE102" i="31091"/>
  <c r="AG101" i="31091"/>
  <c r="AG6" i="31091"/>
  <c r="AG7" i="31091"/>
  <c r="AG8" i="31091"/>
  <c r="AG9" i="31091"/>
  <c r="AG10" i="31091"/>
  <c r="AG11" i="31091"/>
  <c r="AG12" i="31091"/>
  <c r="AG13" i="31091"/>
  <c r="AG14" i="31091"/>
  <c r="AG15" i="31091"/>
  <c r="AG16" i="31091"/>
  <c r="AG17" i="31091"/>
  <c r="AG18" i="31091"/>
  <c r="AG19" i="31091"/>
  <c r="AG20" i="31091"/>
  <c r="AG21" i="31091"/>
  <c r="AG22" i="31091"/>
  <c r="AG23" i="31091"/>
  <c r="AG24" i="31091"/>
  <c r="AG25" i="31091"/>
  <c r="AG26" i="31091"/>
  <c r="AG27" i="31091"/>
  <c r="AG28" i="31091"/>
  <c r="AG29" i="31091"/>
  <c r="AG30" i="31091"/>
  <c r="AG31" i="31091"/>
  <c r="AG32" i="31091"/>
  <c r="AG33" i="31091"/>
  <c r="AG34" i="31091"/>
  <c r="AG35" i="31091"/>
  <c r="AG36" i="31091"/>
  <c r="AG37" i="31091"/>
  <c r="AG38" i="31091"/>
  <c r="AG39" i="31091"/>
  <c r="AG40" i="31091"/>
  <c r="AG41" i="31091"/>
  <c r="AG42" i="31091"/>
  <c r="AG43" i="31091"/>
  <c r="AG44" i="31091"/>
  <c r="AG45" i="31091"/>
  <c r="AG46" i="31091"/>
  <c r="AG47" i="31091"/>
  <c r="AG48" i="31091"/>
  <c r="AG49" i="31091"/>
  <c r="AG50" i="31091"/>
  <c r="AG51" i="31091"/>
  <c r="AG52" i="31091"/>
  <c r="AG53" i="31091"/>
  <c r="AG54" i="31091"/>
  <c r="AG55" i="31091"/>
  <c r="AG56" i="31091"/>
  <c r="AG57" i="31091"/>
  <c r="AG58" i="31091"/>
  <c r="AG59" i="31091"/>
  <c r="AG60" i="31091"/>
  <c r="AG61" i="31091"/>
  <c r="AG62" i="31091"/>
  <c r="AG63" i="31091"/>
  <c r="AG64" i="31091"/>
  <c r="AG65" i="31091"/>
  <c r="AG66" i="31091"/>
  <c r="AG67" i="31091"/>
  <c r="AG68" i="31091"/>
  <c r="AG69" i="31091"/>
  <c r="AG70" i="31091"/>
  <c r="AG71" i="31091"/>
  <c r="AG72" i="31091"/>
  <c r="AG73" i="31091"/>
  <c r="AG74" i="31091"/>
  <c r="AG75" i="31091"/>
  <c r="AG76" i="31091"/>
  <c r="AG77" i="31091"/>
  <c r="AG78" i="31091"/>
  <c r="AG79" i="31091"/>
  <c r="AG80" i="31091"/>
  <c r="AG81" i="31091"/>
  <c r="AG82" i="31091"/>
  <c r="AG83" i="31091"/>
  <c r="AG84" i="31091"/>
  <c r="AG85" i="31091"/>
  <c r="AG86" i="31091"/>
  <c r="AG87" i="31091"/>
  <c r="AG88" i="31091"/>
  <c r="AG89" i="31091"/>
  <c r="AG90" i="31091"/>
  <c r="AG91" i="31091"/>
  <c r="AG92" i="31091"/>
  <c r="AG93" i="31091"/>
  <c r="AG94" i="31091"/>
  <c r="AG95" i="31091"/>
  <c r="AG96" i="31091"/>
  <c r="AG97" i="31091"/>
  <c r="AG98" i="31091"/>
  <c r="AG99" i="31091"/>
  <c r="AG100" i="31091"/>
  <c r="AG5" i="31091"/>
  <c r="AG4" i="31091"/>
  <c r="V122" i="31090"/>
  <c r="U33" i="31090"/>
  <c r="T33" i="31090"/>
  <c r="S33" i="31090"/>
  <c r="P37" i="31090"/>
  <c r="P36" i="31090"/>
  <c r="P35" i="31090"/>
  <c r="P34" i="31090"/>
  <c r="O37" i="31090"/>
  <c r="O36" i="31090"/>
  <c r="O35" i="31090"/>
  <c r="O34" i="31090"/>
  <c r="N37" i="31090"/>
  <c r="N36" i="31090"/>
  <c r="N35" i="31090"/>
  <c r="N34" i="31090"/>
  <c r="M37" i="31090"/>
  <c r="M36" i="31090"/>
  <c r="M35" i="31090"/>
  <c r="M34" i="31090"/>
  <c r="K37" i="31090"/>
  <c r="K36" i="31090"/>
  <c r="K35" i="31090"/>
  <c r="K34" i="31090"/>
  <c r="I37" i="31090"/>
  <c r="I36" i="31090"/>
  <c r="I35" i="31090"/>
  <c r="I34" i="31090"/>
  <c r="G34" i="31090"/>
  <c r="L32" i="31090"/>
  <c r="L37" i="31090" s="1"/>
  <c r="H32" i="31090"/>
  <c r="H37" i="31090" s="1"/>
  <c r="G32" i="31090"/>
  <c r="G37" i="31090" s="1"/>
  <c r="F32" i="31090"/>
  <c r="T122" i="31090" s="1"/>
  <c r="E32" i="31090"/>
  <c r="E37" i="31090" s="1"/>
  <c r="AG21" i="31092" l="1"/>
  <c r="BJ58" i="31093"/>
  <c r="BJ29" i="31093"/>
  <c r="AF48" i="31092"/>
  <c r="AG128" i="31091"/>
  <c r="AG102" i="31091"/>
  <c r="AF148" i="31091"/>
  <c r="H34" i="31090"/>
  <c r="T34" i="31090"/>
  <c r="H35" i="31090"/>
  <c r="H36" i="31090"/>
  <c r="S122" i="31090"/>
  <c r="L34" i="31090"/>
  <c r="U34" i="31090"/>
  <c r="E34" i="31090"/>
  <c r="E35" i="31090"/>
  <c r="F35" i="31090"/>
  <c r="G35" i="31090"/>
  <c r="L35" i="31090"/>
  <c r="F34" i="31090"/>
  <c r="E36" i="31090"/>
  <c r="F36" i="31090"/>
  <c r="G36" i="31090"/>
  <c r="L36" i="31090"/>
  <c r="U122" i="31090"/>
  <c r="F37" i="31090"/>
  <c r="C37" i="31089"/>
  <c r="C35" i="31089"/>
  <c r="C36" i="31089"/>
  <c r="O33" i="31089"/>
  <c r="T33" i="31088"/>
  <c r="E33" i="31088"/>
  <c r="M33" i="31088"/>
  <c r="M35" i="31088"/>
  <c r="H34" i="31088"/>
  <c r="S33" i="31088"/>
  <c r="E34" i="31088"/>
  <c r="H35" i="31088"/>
  <c r="D34" i="31088"/>
  <c r="D36" i="31088"/>
  <c r="C31" i="31088"/>
  <c r="D35" i="31088"/>
  <c r="C31" i="31087"/>
  <c r="R29" i="31087" s="1"/>
  <c r="D36" i="31086"/>
  <c r="Y29" i="31086"/>
  <c r="W29" i="31086"/>
  <c r="S29" i="31087"/>
  <c r="G33" i="31086"/>
  <c r="G34" i="31086"/>
  <c r="D33" i="31086"/>
  <c r="H33" i="31086"/>
  <c r="D34" i="31086"/>
  <c r="H34" i="31086"/>
  <c r="H35" i="31086"/>
  <c r="E33" i="31086"/>
  <c r="M33" i="31086"/>
  <c r="E34" i="31086"/>
  <c r="M34" i="31086"/>
  <c r="E35" i="31086"/>
  <c r="M35" i="31086"/>
  <c r="X29" i="31086"/>
  <c r="M36" i="31086"/>
  <c r="C31" i="31086"/>
  <c r="D32" i="31090"/>
  <c r="S34" i="31090" l="1"/>
  <c r="C32" i="31090"/>
  <c r="D37" i="31090"/>
  <c r="D36" i="31090"/>
  <c r="D34" i="31090"/>
  <c r="D35" i="31090"/>
  <c r="C34" i="31088"/>
  <c r="C33" i="31088"/>
  <c r="C35" i="31088"/>
  <c r="C36" i="31088"/>
  <c r="V29" i="31086"/>
  <c r="C36" i="31086"/>
  <c r="C35" i="31086"/>
  <c r="C34" i="31086"/>
  <c r="C33" i="31086"/>
  <c r="C37" i="31090" l="1"/>
  <c r="C34" i="31090"/>
  <c r="C36" i="31090"/>
  <c r="C35" i="31090"/>
  <c r="C98" i="31079"/>
  <c r="C97" i="31079"/>
  <c r="C96" i="31079"/>
  <c r="C95" i="31079"/>
  <c r="E93" i="31079"/>
  <c r="E92" i="31079"/>
  <c r="AC64" i="1049"/>
  <c r="Z64" i="1049"/>
  <c r="AA64" i="1049"/>
  <c r="AB64" i="1049"/>
  <c r="Y64" i="1049"/>
  <c r="V64" i="1049"/>
  <c r="S64" i="1049"/>
  <c r="T64" i="1049"/>
  <c r="W64" i="1049" s="1"/>
  <c r="U64" i="1049"/>
  <c r="N31" i="1049"/>
  <c r="N35" i="1049" s="1"/>
  <c r="I31" i="1049"/>
  <c r="I35" i="1049" s="1"/>
  <c r="N36" i="1049" l="1"/>
  <c r="N33" i="1049"/>
  <c r="N34" i="1049"/>
  <c r="I34" i="1049"/>
  <c r="I36" i="1049"/>
  <c r="I33" i="1049"/>
  <c r="D31" i="1049"/>
  <c r="D36" i="1049" l="1"/>
  <c r="D35" i="1049"/>
  <c r="D34" i="1049"/>
  <c r="D33" i="1049"/>
  <c r="O31" i="1049"/>
  <c r="G36" i="31067"/>
  <c r="G35" i="31067"/>
  <c r="G34" i="31067"/>
  <c r="G33" i="31067"/>
  <c r="F36" i="31067"/>
  <c r="F35" i="31067"/>
  <c r="F34" i="31067"/>
  <c r="F33" i="31067"/>
  <c r="E36" i="31067"/>
  <c r="E35" i="31067"/>
  <c r="E34" i="31067"/>
  <c r="E33" i="31067"/>
  <c r="D36" i="31067"/>
  <c r="D35" i="31067"/>
  <c r="D34" i="31067"/>
  <c r="C34" i="31067"/>
  <c r="D31" i="31067"/>
  <c r="D33" i="31067" s="1"/>
  <c r="C31" i="31067"/>
  <c r="C35" i="31067" s="1"/>
  <c r="G36" i="31078"/>
  <c r="G35" i="31078"/>
  <c r="G34" i="31078"/>
  <c r="G33" i="31078"/>
  <c r="F36" i="31078"/>
  <c r="F35" i="31078"/>
  <c r="F34" i="31078"/>
  <c r="F33" i="31078"/>
  <c r="E36" i="31078"/>
  <c r="E35" i="31078"/>
  <c r="E34" i="31078"/>
  <c r="E33" i="31078"/>
  <c r="D36" i="31078"/>
  <c r="D35" i="31078"/>
  <c r="D34" i="31078"/>
  <c r="D33" i="31078"/>
  <c r="C36" i="31078"/>
  <c r="C35" i="31078"/>
  <c r="C34" i="31078"/>
  <c r="C33" i="31078"/>
  <c r="G31" i="31078"/>
  <c r="F31" i="31078"/>
  <c r="E31" i="31078"/>
  <c r="D31" i="31078"/>
  <c r="C31" i="31078"/>
  <c r="M32" i="31077"/>
  <c r="D31" i="31077"/>
  <c r="D35" i="31077" s="1"/>
  <c r="G31" i="31065"/>
  <c r="G34" i="31065" s="1"/>
  <c r="G36" i="31065"/>
  <c r="G35" i="31065"/>
  <c r="F36" i="31065"/>
  <c r="F35" i="31065"/>
  <c r="F34" i="31065"/>
  <c r="F33" i="31065"/>
  <c r="E36" i="31065"/>
  <c r="E35" i="31065"/>
  <c r="E34" i="31065"/>
  <c r="E33" i="31065"/>
  <c r="D36" i="31065"/>
  <c r="D35" i="31065"/>
  <c r="D34" i="31065"/>
  <c r="D33" i="31065"/>
  <c r="C36" i="31065"/>
  <c r="C35" i="31065"/>
  <c r="C34" i="31065"/>
  <c r="C33" i="31065"/>
  <c r="K35" i="31065"/>
  <c r="L35" i="31065"/>
  <c r="M35" i="31065"/>
  <c r="N35" i="31065"/>
  <c r="C34" i="31060"/>
  <c r="C33" i="31060"/>
  <c r="K36" i="31060"/>
  <c r="K35" i="31060"/>
  <c r="K34" i="31060"/>
  <c r="K33" i="31060"/>
  <c r="I36" i="31060"/>
  <c r="I35" i="31060"/>
  <c r="I34" i="31060"/>
  <c r="I33" i="31060"/>
  <c r="G36" i="31060"/>
  <c r="G35" i="31060"/>
  <c r="G34" i="31060"/>
  <c r="G33" i="31060"/>
  <c r="E36" i="31060"/>
  <c r="E35" i="31060"/>
  <c r="E34" i="31060"/>
  <c r="E33" i="31060"/>
  <c r="C36" i="31060"/>
  <c r="C35" i="31060"/>
  <c r="K31" i="31060"/>
  <c r="F31" i="31060" s="1"/>
  <c r="D29" i="31060"/>
  <c r="O65" i="31077"/>
  <c r="P65" i="31077"/>
  <c r="K36" i="31077"/>
  <c r="K35" i="31077"/>
  <c r="K34" i="31077"/>
  <c r="K33" i="31077"/>
  <c r="I36" i="31077"/>
  <c r="I35" i="31077"/>
  <c r="I34" i="31077"/>
  <c r="I33" i="31077"/>
  <c r="G33" i="31077"/>
  <c r="H33" i="31077"/>
  <c r="G34" i="31077"/>
  <c r="H34" i="31077"/>
  <c r="G35" i="31077"/>
  <c r="H35" i="31077"/>
  <c r="G36" i="31077"/>
  <c r="H36" i="31077"/>
  <c r="F36" i="31077"/>
  <c r="F35" i="31077"/>
  <c r="F34" i="31077"/>
  <c r="F33" i="31077"/>
  <c r="E33" i="31077"/>
  <c r="E34" i="31077"/>
  <c r="E35" i="31077"/>
  <c r="E36" i="31077"/>
  <c r="C36" i="31077"/>
  <c r="C35" i="31077"/>
  <c r="C34" i="31077"/>
  <c r="C33" i="31077"/>
  <c r="P31" i="31077"/>
  <c r="C31" i="31077"/>
  <c r="E31" i="31077"/>
  <c r="F31" i="31077"/>
  <c r="G31" i="31077"/>
  <c r="H31" i="31077"/>
  <c r="I31" i="31077"/>
  <c r="K31" i="31077"/>
  <c r="O67" i="31076"/>
  <c r="P67" i="31076"/>
  <c r="O33" i="31076"/>
  <c r="P33" i="31076"/>
  <c r="K36" i="31076"/>
  <c r="K35" i="31076"/>
  <c r="K34" i="31076"/>
  <c r="K33" i="31076"/>
  <c r="I34" i="31076"/>
  <c r="I33" i="31076"/>
  <c r="G34" i="31076"/>
  <c r="H34" i="31076"/>
  <c r="G35" i="31076"/>
  <c r="H35" i="31076"/>
  <c r="G36" i="31076"/>
  <c r="H36" i="31076"/>
  <c r="D36" i="31076"/>
  <c r="E36" i="31076"/>
  <c r="D35" i="31076"/>
  <c r="E35" i="31076"/>
  <c r="D34" i="31076"/>
  <c r="E34" i="31076"/>
  <c r="C34" i="31076"/>
  <c r="G33" i="31076"/>
  <c r="H33" i="31076"/>
  <c r="D33" i="31076"/>
  <c r="E33" i="31076"/>
  <c r="C33" i="31076"/>
  <c r="I31" i="31063"/>
  <c r="P92" i="31063" s="1"/>
  <c r="F31" i="31063"/>
  <c r="O92" i="31063" s="1"/>
  <c r="I31" i="31076"/>
  <c r="I36" i="31076" s="1"/>
  <c r="F31" i="31076"/>
  <c r="F34" i="31076" s="1"/>
  <c r="C31" i="31076"/>
  <c r="C36" i="31076" s="1"/>
  <c r="D31" i="31063"/>
  <c r="E31" i="31063"/>
  <c r="P64" i="31063" s="1"/>
  <c r="C33" i="31067" l="1"/>
  <c r="D34" i="31077"/>
  <c r="D33" i="31077"/>
  <c r="D36" i="31077"/>
  <c r="O31" i="31077"/>
  <c r="G33" i="31065"/>
  <c r="H31" i="31060"/>
  <c r="D31" i="31060"/>
  <c r="J31" i="31060"/>
  <c r="I35" i="31076"/>
  <c r="F33" i="31076"/>
  <c r="F35" i="31076"/>
  <c r="F36" i="31076"/>
  <c r="C35" i="31076"/>
  <c r="C31" i="31063"/>
  <c r="O64" i="31063"/>
  <c r="K36" i="31063" l="1"/>
  <c r="K35" i="31063"/>
  <c r="K34" i="31063"/>
  <c r="K33" i="31063"/>
  <c r="I36" i="31063"/>
  <c r="I35" i="31063"/>
  <c r="I34" i="31063"/>
  <c r="I33" i="31063"/>
  <c r="H36" i="31063"/>
  <c r="H35" i="31063"/>
  <c r="H34" i="31063"/>
  <c r="G36" i="31063"/>
  <c r="G35" i="31063"/>
  <c r="G34" i="31063"/>
  <c r="F36" i="31063"/>
  <c r="F35" i="31063"/>
  <c r="F34" i="31063"/>
  <c r="H33" i="31063"/>
  <c r="G33" i="31063"/>
  <c r="F33" i="31063"/>
  <c r="D36" i="31063"/>
  <c r="E36" i="31063"/>
  <c r="E35" i="31063"/>
  <c r="D35" i="31063"/>
  <c r="C35" i="31063"/>
  <c r="C36" i="31063"/>
  <c r="E34" i="31063"/>
  <c r="D34" i="31063"/>
  <c r="C34" i="31063"/>
  <c r="E33" i="31063"/>
  <c r="D33" i="31063"/>
  <c r="C33" i="31063"/>
  <c r="C32" i="31089"/>
  <c r="J14" i="31095" l="1"/>
  <c r="L9" i="31095"/>
  <c r="I14" i="31095"/>
  <c r="I13" i="31095"/>
  <c r="AE146" i="31091"/>
  <c r="AE128" i="31091"/>
  <c r="AD102" i="31091"/>
  <c r="E91" i="31079"/>
  <c r="E90" i="31079"/>
  <c r="E89" i="31079"/>
  <c r="AE148" i="31091" l="1"/>
  <c r="K9" i="31095"/>
  <c r="K11" i="31095"/>
  <c r="L11" i="31095"/>
  <c r="D30" i="31088" l="1"/>
  <c r="I38" i="2"/>
  <c r="H38" i="2"/>
  <c r="D38" i="2"/>
  <c r="C38" i="2"/>
  <c r="N13" i="2"/>
  <c r="M13" i="2"/>
  <c r="G12" i="2"/>
  <c r="G11" i="2"/>
  <c r="G10" i="2"/>
  <c r="G9" i="2"/>
  <c r="G8" i="2"/>
  <c r="G7" i="2"/>
  <c r="G38" i="2"/>
  <c r="J13" i="2"/>
  <c r="J38" i="2" s="1"/>
  <c r="J12" i="2"/>
  <c r="J11" i="2"/>
  <c r="J10" i="2"/>
  <c r="J9" i="2"/>
  <c r="J8" i="2"/>
  <c r="J7" i="2"/>
  <c r="I26" i="2"/>
  <c r="BH30" i="31093" l="1"/>
  <c r="AC15" i="31093"/>
  <c r="BH60" i="31093"/>
  <c r="AD12" i="31092"/>
  <c r="BH31" i="31093" s="1"/>
  <c r="AG146" i="31091"/>
  <c r="AG148" i="31091" s="1"/>
  <c r="AD146" i="31091"/>
  <c r="BH59" i="31093" s="1"/>
  <c r="AD128" i="31091"/>
  <c r="V121" i="31090"/>
  <c r="O31" i="31090"/>
  <c r="N31" i="31090"/>
  <c r="M31" i="31090"/>
  <c r="K31" i="31090"/>
  <c r="I31" i="31090"/>
  <c r="E31" i="31090"/>
  <c r="AB63" i="1049"/>
  <c r="AA63" i="1049"/>
  <c r="Z63" i="1049"/>
  <c r="Y63" i="1049"/>
  <c r="U63" i="1049"/>
  <c r="T63" i="1049"/>
  <c r="S63" i="1049"/>
  <c r="W63" i="1049" s="1"/>
  <c r="N30" i="1049"/>
  <c r="I30" i="1049"/>
  <c r="D30" i="31067"/>
  <c r="C30" i="31067"/>
  <c r="N34" i="31065"/>
  <c r="M34" i="31065"/>
  <c r="L34" i="31065"/>
  <c r="K34" i="31065"/>
  <c r="N30" i="31065"/>
  <c r="M30" i="31065"/>
  <c r="L30" i="31065"/>
  <c r="K30" i="31065"/>
  <c r="G30" i="31065"/>
  <c r="K30" i="31060"/>
  <c r="J30" i="31060" s="1"/>
  <c r="N91" i="31063"/>
  <c r="I30" i="31063"/>
  <c r="F30" i="31063"/>
  <c r="E30" i="31063"/>
  <c r="D30" i="31063"/>
  <c r="I30" i="31076"/>
  <c r="F30" i="31076"/>
  <c r="E30" i="31076"/>
  <c r="D30" i="31076"/>
  <c r="T103" i="31088"/>
  <c r="S103" i="31088"/>
  <c r="V74" i="31088"/>
  <c r="U74" i="31088"/>
  <c r="T74" i="31088"/>
  <c r="S74" i="31088"/>
  <c r="S32" i="31088"/>
  <c r="M30" i="31088"/>
  <c r="H30" i="31088"/>
  <c r="G30" i="31088"/>
  <c r="V32" i="31088" s="1"/>
  <c r="F30" i="31088"/>
  <c r="U32" i="31088" s="1"/>
  <c r="E30" i="31088"/>
  <c r="T94" i="31087"/>
  <c r="S94" i="31087"/>
  <c r="V62" i="31087"/>
  <c r="U62" i="31087"/>
  <c r="T62" i="31087"/>
  <c r="S62" i="31087"/>
  <c r="M30" i="31087"/>
  <c r="M33" i="31087" s="1"/>
  <c r="H30" i="31087"/>
  <c r="H33" i="31087" s="1"/>
  <c r="G30" i="31087"/>
  <c r="G33" i="31087" s="1"/>
  <c r="F30" i="31087"/>
  <c r="F33" i="31087" s="1"/>
  <c r="E30" i="31087"/>
  <c r="E33" i="31087" s="1"/>
  <c r="D30" i="31087"/>
  <c r="W62" i="31086"/>
  <c r="X93" i="31086"/>
  <c r="W93" i="31086"/>
  <c r="Z62" i="31086"/>
  <c r="Y62" i="31086"/>
  <c r="X62" i="31086"/>
  <c r="U28" i="31086"/>
  <c r="M30" i="31086"/>
  <c r="H30" i="31086"/>
  <c r="G30" i="31086"/>
  <c r="Z28" i="31086" s="1"/>
  <c r="F30" i="31086"/>
  <c r="Y28" i="31086" s="1"/>
  <c r="E30" i="31086"/>
  <c r="X28" i="31086" s="1"/>
  <c r="D30" i="31086"/>
  <c r="C31" i="31089"/>
  <c r="J13" i="31095"/>
  <c r="S43" i="1049"/>
  <c r="S44" i="1049"/>
  <c r="S45" i="1049"/>
  <c r="S46" i="1049"/>
  <c r="S47" i="1049"/>
  <c r="S48" i="1049"/>
  <c r="S49" i="1049"/>
  <c r="S50" i="1049"/>
  <c r="S51" i="1049"/>
  <c r="S52" i="1049"/>
  <c r="S53" i="1049"/>
  <c r="S54" i="1049"/>
  <c r="S55" i="1049"/>
  <c r="S56" i="1049"/>
  <c r="S57" i="1049"/>
  <c r="S58" i="1049"/>
  <c r="S59" i="1049"/>
  <c r="S60" i="1049"/>
  <c r="S61" i="1049"/>
  <c r="S62" i="1049"/>
  <c r="AD15" i="31093"/>
  <c r="BI60" i="31093"/>
  <c r="AE12" i="31092"/>
  <c r="BI59" i="31093"/>
  <c r="BI42" i="31093"/>
  <c r="BI41" i="31093" s="1"/>
  <c r="A107" i="31091"/>
  <c r="A108" i="31091" s="1"/>
  <c r="A109" i="31091" s="1"/>
  <c r="A110" i="31091" s="1"/>
  <c r="A111" i="31091" s="1"/>
  <c r="A112" i="31091" s="1"/>
  <c r="A113" i="31091" s="1"/>
  <c r="A114" i="31091" s="1"/>
  <c r="A115" i="31091" s="1"/>
  <c r="A116" i="31091" s="1"/>
  <c r="A117" i="31091" s="1"/>
  <c r="A118" i="31091" s="1"/>
  <c r="A119" i="31091" s="1"/>
  <c r="A120" i="31091" s="1"/>
  <c r="A121" i="31091" s="1"/>
  <c r="A122" i="31091" s="1"/>
  <c r="A123" i="31091" s="1"/>
  <c r="A124" i="31091" s="1"/>
  <c r="BI30" i="31093"/>
  <c r="A5" i="31091"/>
  <c r="A6" i="31091" s="1"/>
  <c r="A7" i="31091" s="1"/>
  <c r="A8" i="31091" s="1"/>
  <c r="A9" i="31091" s="1"/>
  <c r="A10" i="31091" s="1"/>
  <c r="A11" i="31091" s="1"/>
  <c r="A12" i="31091" s="1"/>
  <c r="A13" i="31091" s="1"/>
  <c r="A14" i="31091" s="1"/>
  <c r="A15" i="31091" s="1"/>
  <c r="A16" i="31091" s="1"/>
  <c r="A17" i="31091" s="1"/>
  <c r="A18" i="31091" s="1"/>
  <c r="A19" i="31091" s="1"/>
  <c r="A20" i="31091" s="1"/>
  <c r="A21" i="31091" s="1"/>
  <c r="A22" i="31091" s="1"/>
  <c r="A23" i="31091" s="1"/>
  <c r="A24" i="31091" s="1"/>
  <c r="A25" i="31091" s="1"/>
  <c r="A26" i="31091" s="1"/>
  <c r="A27" i="31091" s="1"/>
  <c r="A28" i="31091" s="1"/>
  <c r="A29" i="31091" s="1"/>
  <c r="A30" i="31091" s="1"/>
  <c r="A31" i="31091" s="1"/>
  <c r="A32" i="31091" s="1"/>
  <c r="A33" i="31091" s="1"/>
  <c r="A34" i="31091" s="1"/>
  <c r="A35" i="31091" s="1"/>
  <c r="A36" i="31091" s="1"/>
  <c r="A37" i="31091" s="1"/>
  <c r="A38" i="31091" s="1"/>
  <c r="A39" i="31091" s="1"/>
  <c r="A40" i="31091" s="1"/>
  <c r="A41" i="31091" s="1"/>
  <c r="A42" i="31091" s="1"/>
  <c r="A43" i="31091" s="1"/>
  <c r="A44" i="31091" s="1"/>
  <c r="A45" i="31091" s="1"/>
  <c r="A46" i="31091" s="1"/>
  <c r="A47" i="31091" s="1"/>
  <c r="A48" i="31091" s="1"/>
  <c r="A49" i="31091" s="1"/>
  <c r="A50" i="31091" s="1"/>
  <c r="A51" i="31091" s="1"/>
  <c r="A52" i="31091" s="1"/>
  <c r="A53" i="31091" s="1"/>
  <c r="A54" i="31091" s="1"/>
  <c r="A55" i="31091" s="1"/>
  <c r="A56" i="31091" s="1"/>
  <c r="A57" i="31091" s="1"/>
  <c r="A58" i="31091" s="1"/>
  <c r="A59" i="31091" s="1"/>
  <c r="A60" i="31091" s="1"/>
  <c r="A61" i="31091" s="1"/>
  <c r="A62" i="31091" s="1"/>
  <c r="A63" i="31091" s="1"/>
  <c r="A64" i="31091" s="1"/>
  <c r="A65" i="31091" s="1"/>
  <c r="A66" i="31091" s="1"/>
  <c r="A67" i="31091" s="1"/>
  <c r="A68" i="31091" s="1"/>
  <c r="A69" i="31091" s="1"/>
  <c r="A70" i="31091" s="1"/>
  <c r="A71" i="31091" s="1"/>
  <c r="A72" i="31091" s="1"/>
  <c r="A73" i="31091" s="1"/>
  <c r="A74" i="31091" s="1"/>
  <c r="A75" i="31091" s="1"/>
  <c r="A76" i="31091" s="1"/>
  <c r="A77" i="31091" s="1"/>
  <c r="A78" i="31091" s="1"/>
  <c r="A79" i="31091" s="1"/>
  <c r="A80" i="31091" s="1"/>
  <c r="A81" i="31091" s="1"/>
  <c r="A82" i="31091" s="1"/>
  <c r="A83" i="31091" s="1"/>
  <c r="A84" i="31091" s="1"/>
  <c r="A85" i="31091" s="1"/>
  <c r="A86" i="31091" s="1"/>
  <c r="A87" i="31091" s="1"/>
  <c r="A88" i="31091" s="1"/>
  <c r="A89" i="31091" s="1"/>
  <c r="A90" i="31091" s="1"/>
  <c r="A91" i="31091" s="1"/>
  <c r="A92" i="31091" s="1"/>
  <c r="A93" i="31091" s="1"/>
  <c r="A94" i="31091" s="1"/>
  <c r="A95" i="31091" s="1"/>
  <c r="A96" i="31091" s="1"/>
  <c r="A97" i="31091" s="1"/>
  <c r="A98" i="31091" s="1"/>
  <c r="A99" i="31091" s="1"/>
  <c r="A100" i="31091" s="1"/>
  <c r="A101" i="31091" s="1"/>
  <c r="V120" i="31090"/>
  <c r="L30" i="31090"/>
  <c r="U31" i="31090" s="1"/>
  <c r="H30" i="31090"/>
  <c r="T31" i="31090" s="1"/>
  <c r="S31" i="31090" s="1"/>
  <c r="G30" i="31090"/>
  <c r="F30" i="31090"/>
  <c r="T120" i="31090" s="1"/>
  <c r="E30" i="31090"/>
  <c r="S120" i="31090" s="1"/>
  <c r="C29" i="31079"/>
  <c r="AB62" i="1049"/>
  <c r="AA62" i="1049"/>
  <c r="Z62" i="1049"/>
  <c r="Y62" i="1049"/>
  <c r="U62" i="1049"/>
  <c r="T62" i="1049"/>
  <c r="N29" i="1049"/>
  <c r="I29" i="1049"/>
  <c r="C29" i="31067"/>
  <c r="D29" i="31067"/>
  <c r="N33" i="31065"/>
  <c r="M33" i="31065"/>
  <c r="L33" i="31065"/>
  <c r="K33" i="31065"/>
  <c r="G29" i="31065"/>
  <c r="K29" i="31060"/>
  <c r="P63" i="31077"/>
  <c r="O63" i="31077"/>
  <c r="P29" i="31077"/>
  <c r="O29" i="31077"/>
  <c r="N90" i="31063"/>
  <c r="N62" i="31063"/>
  <c r="I29" i="31063"/>
  <c r="P90" i="31063" s="1"/>
  <c r="F29" i="31063"/>
  <c r="D29" i="31063"/>
  <c r="C29" i="31063" s="1"/>
  <c r="E29" i="31063"/>
  <c r="L13" i="2"/>
  <c r="L38" i="2" s="1"/>
  <c r="K13" i="2"/>
  <c r="I29" i="31076"/>
  <c r="P65" i="31076" s="1"/>
  <c r="F29" i="31076"/>
  <c r="D29" i="31076"/>
  <c r="O30" i="31076" s="1"/>
  <c r="E29" i="31076"/>
  <c r="S102" i="31088"/>
  <c r="T102" i="31088"/>
  <c r="S73" i="31088"/>
  <c r="T73" i="31088"/>
  <c r="U73" i="31088"/>
  <c r="V73" i="31088"/>
  <c r="D29" i="31088"/>
  <c r="S31" i="31088" s="1"/>
  <c r="E29" i="31088"/>
  <c r="T30" i="31088" s="1"/>
  <c r="F29" i="31088"/>
  <c r="U31" i="31088" s="1"/>
  <c r="G29" i="31088"/>
  <c r="M29" i="31088"/>
  <c r="H29" i="31088"/>
  <c r="S93" i="31087"/>
  <c r="T93" i="31087"/>
  <c r="S61" i="31087"/>
  <c r="T61" i="31087"/>
  <c r="U61" i="31087"/>
  <c r="V61" i="31087"/>
  <c r="D29" i="31087"/>
  <c r="S27" i="31087" s="1"/>
  <c r="E29" i="31087"/>
  <c r="F29" i="31087"/>
  <c r="U27" i="31087" s="1"/>
  <c r="G29" i="31087"/>
  <c r="V27" i="31087" s="1"/>
  <c r="H29" i="31087"/>
  <c r="M29" i="31087"/>
  <c r="W92" i="31086"/>
  <c r="X92" i="31086"/>
  <c r="W61" i="31086"/>
  <c r="X61" i="31086"/>
  <c r="Y61" i="31086"/>
  <c r="Z61" i="31086"/>
  <c r="U27" i="31086"/>
  <c r="D29" i="31086"/>
  <c r="E29" i="31086"/>
  <c r="F29" i="31086"/>
  <c r="Y27" i="31086" s="1"/>
  <c r="G29" i="31086"/>
  <c r="H29" i="31086"/>
  <c r="M29" i="31086"/>
  <c r="AB15" i="31093"/>
  <c r="AF15" i="31093" s="1"/>
  <c r="BG30" i="31093"/>
  <c r="F29" i="31090"/>
  <c r="T119" i="31090" s="1"/>
  <c r="BF58" i="31093"/>
  <c r="BF41" i="31093"/>
  <c r="BF29" i="31093"/>
  <c r="BF12" i="31093"/>
  <c r="AA6" i="31093"/>
  <c r="BG60" i="31093"/>
  <c r="AC12" i="31092"/>
  <c r="BG31" i="31093" s="1"/>
  <c r="V99" i="31090"/>
  <c r="V100" i="31090"/>
  <c r="V101" i="31090"/>
  <c r="V102" i="31090"/>
  <c r="V103" i="31090"/>
  <c r="V104" i="31090"/>
  <c r="V105" i="31090"/>
  <c r="V106" i="31090"/>
  <c r="V107" i="31090"/>
  <c r="V108" i="31090"/>
  <c r="V109" i="31090"/>
  <c r="V110" i="31090"/>
  <c r="V111" i="31090"/>
  <c r="V112" i="31090"/>
  <c r="V113" i="31090"/>
  <c r="V114" i="31090"/>
  <c r="V115" i="31090"/>
  <c r="V116" i="31090"/>
  <c r="V117" i="31090"/>
  <c r="V118" i="31090"/>
  <c r="E71" i="31079"/>
  <c r="E72" i="31079"/>
  <c r="E73" i="31079"/>
  <c r="E74" i="31079"/>
  <c r="E75" i="31079"/>
  <c r="E76" i="31079"/>
  <c r="E77" i="31079"/>
  <c r="E78" i="31079"/>
  <c r="E79" i="31079"/>
  <c r="E80" i="31079"/>
  <c r="E81" i="31079"/>
  <c r="E82" i="31079"/>
  <c r="E83" i="31079"/>
  <c r="E84" i="31079"/>
  <c r="E85" i="31079"/>
  <c r="E86" i="31079"/>
  <c r="E87" i="31079"/>
  <c r="E88" i="31079"/>
  <c r="C9" i="31079"/>
  <c r="C10" i="31079"/>
  <c r="C11" i="31079"/>
  <c r="C12" i="31079"/>
  <c r="C13" i="31079"/>
  <c r="C14" i="31079"/>
  <c r="C15" i="31079"/>
  <c r="C16" i="31079"/>
  <c r="C17" i="31079"/>
  <c r="C18" i="31079"/>
  <c r="C19" i="31079"/>
  <c r="C20" i="31079"/>
  <c r="C21" i="31079"/>
  <c r="C22" i="31079"/>
  <c r="C23" i="31079"/>
  <c r="C24" i="31079"/>
  <c r="C25" i="31079"/>
  <c r="C26" i="31079"/>
  <c r="C27" i="31079"/>
  <c r="C28" i="31079"/>
  <c r="T61" i="1049"/>
  <c r="U61" i="1049"/>
  <c r="Y61" i="1049"/>
  <c r="Z61" i="1049"/>
  <c r="AA61" i="1049"/>
  <c r="AB61" i="1049"/>
  <c r="N28" i="1049"/>
  <c r="I28" i="1049"/>
  <c r="D28" i="31067"/>
  <c r="C28" i="31067"/>
  <c r="K32" i="31065"/>
  <c r="L32" i="31065"/>
  <c r="M32" i="31065"/>
  <c r="N32" i="31065"/>
  <c r="K11" i="31065"/>
  <c r="L11" i="31065"/>
  <c r="M11" i="31065"/>
  <c r="N11" i="31065"/>
  <c r="K12" i="31065"/>
  <c r="L12" i="31065"/>
  <c r="M12" i="31065"/>
  <c r="N12" i="31065"/>
  <c r="K13" i="31065"/>
  <c r="L13" i="31065"/>
  <c r="M13" i="31065"/>
  <c r="N13" i="31065"/>
  <c r="K14" i="31065"/>
  <c r="L14" i="31065"/>
  <c r="M14" i="31065"/>
  <c r="N14" i="31065"/>
  <c r="K15" i="31065"/>
  <c r="L15" i="31065"/>
  <c r="M15" i="31065"/>
  <c r="N15" i="31065"/>
  <c r="K16" i="31065"/>
  <c r="L16" i="31065"/>
  <c r="M16" i="31065"/>
  <c r="N16" i="31065"/>
  <c r="K17" i="31065"/>
  <c r="L17" i="31065"/>
  <c r="M17" i="31065"/>
  <c r="N17" i="31065"/>
  <c r="K18" i="31065"/>
  <c r="L18" i="31065"/>
  <c r="M18" i="31065"/>
  <c r="N18" i="31065"/>
  <c r="K19" i="31065"/>
  <c r="L19" i="31065"/>
  <c r="M19" i="31065"/>
  <c r="N19" i="31065"/>
  <c r="K20" i="31065"/>
  <c r="L20" i="31065"/>
  <c r="M20" i="31065"/>
  <c r="N20" i="31065"/>
  <c r="K21" i="31065"/>
  <c r="L21" i="31065"/>
  <c r="M21" i="31065"/>
  <c r="N21" i="31065"/>
  <c r="K22" i="31065"/>
  <c r="L22" i="31065"/>
  <c r="M22" i="31065"/>
  <c r="N22" i="31065"/>
  <c r="K23" i="31065"/>
  <c r="L23" i="31065"/>
  <c r="M23" i="31065"/>
  <c r="N23" i="31065"/>
  <c r="K24" i="31065"/>
  <c r="L24" i="31065"/>
  <c r="M24" i="31065"/>
  <c r="N24" i="31065"/>
  <c r="K25" i="31065"/>
  <c r="L25" i="31065"/>
  <c r="M25" i="31065"/>
  <c r="N25" i="31065"/>
  <c r="K26" i="31065"/>
  <c r="L26" i="31065"/>
  <c r="M26" i="31065"/>
  <c r="N26" i="31065"/>
  <c r="K27" i="31065"/>
  <c r="L27" i="31065"/>
  <c r="M27" i="31065"/>
  <c r="N27" i="31065"/>
  <c r="K28" i="31065"/>
  <c r="L28" i="31065"/>
  <c r="M28" i="31065"/>
  <c r="N28" i="31065"/>
  <c r="L29" i="31065"/>
  <c r="M29" i="31065"/>
  <c r="N29" i="31065"/>
  <c r="K31" i="31065"/>
  <c r="L31" i="31065"/>
  <c r="M31" i="31065"/>
  <c r="N31" i="31065"/>
  <c r="L10" i="31065"/>
  <c r="M10" i="31065"/>
  <c r="N10" i="31065"/>
  <c r="K10" i="31065"/>
  <c r="G9" i="31065"/>
  <c r="G10" i="31065"/>
  <c r="G11" i="31065"/>
  <c r="G12" i="31065"/>
  <c r="G13" i="31065"/>
  <c r="G14" i="31065"/>
  <c r="G15" i="31065"/>
  <c r="G16" i="31065"/>
  <c r="G17" i="31065"/>
  <c r="G18" i="31065"/>
  <c r="G19" i="31065"/>
  <c r="G20" i="31065"/>
  <c r="G21" i="31065"/>
  <c r="G22" i="31065"/>
  <c r="G23" i="31065"/>
  <c r="G24" i="31065"/>
  <c r="G25" i="31065"/>
  <c r="G27" i="31065"/>
  <c r="G28" i="31065"/>
  <c r="G8" i="31065"/>
  <c r="G7" i="31065"/>
  <c r="K28" i="31060"/>
  <c r="D28" i="31060"/>
  <c r="O42" i="31077"/>
  <c r="O43" i="31077"/>
  <c r="O44" i="31077"/>
  <c r="O45" i="31077"/>
  <c r="O46" i="31077"/>
  <c r="O47" i="31077"/>
  <c r="O48" i="31077"/>
  <c r="O49" i="31077"/>
  <c r="O50" i="31077"/>
  <c r="O51" i="31077"/>
  <c r="O52" i="31077"/>
  <c r="O53" i="31077"/>
  <c r="O54" i="31077"/>
  <c r="O55" i="31077"/>
  <c r="O56" i="31077"/>
  <c r="O57" i="31077"/>
  <c r="P57" i="31077"/>
  <c r="O58" i="31077"/>
  <c r="P58" i="31077"/>
  <c r="O59" i="31077"/>
  <c r="P59" i="31077"/>
  <c r="O60" i="31077"/>
  <c r="P60" i="31077"/>
  <c r="O61" i="31077"/>
  <c r="P61" i="31077"/>
  <c r="O62" i="31077"/>
  <c r="P62" i="31077"/>
  <c r="O41" i="31077"/>
  <c r="P8" i="31077"/>
  <c r="P9" i="31077"/>
  <c r="P10" i="31077"/>
  <c r="P11" i="31077"/>
  <c r="P12" i="31077"/>
  <c r="P13" i="31077"/>
  <c r="P14" i="31077"/>
  <c r="P15" i="31077"/>
  <c r="P16" i="31077"/>
  <c r="P17" i="31077"/>
  <c r="P18" i="31077"/>
  <c r="P19" i="31077"/>
  <c r="P20" i="31077"/>
  <c r="P21" i="31077"/>
  <c r="P22" i="31077"/>
  <c r="O23" i="31077"/>
  <c r="P23" i="31077"/>
  <c r="P24" i="31077"/>
  <c r="P25" i="31077"/>
  <c r="O26" i="31077"/>
  <c r="P26" i="31077"/>
  <c r="O27" i="31077"/>
  <c r="P27" i="31077"/>
  <c r="O28" i="31077"/>
  <c r="P28" i="31077"/>
  <c r="P7" i="31077"/>
  <c r="N69" i="31063"/>
  <c r="N70" i="31063"/>
  <c r="N71" i="31063"/>
  <c r="N72" i="31063"/>
  <c r="N73" i="31063"/>
  <c r="N74" i="31063"/>
  <c r="N75" i="31063"/>
  <c r="N76" i="31063"/>
  <c r="N77" i="31063"/>
  <c r="N78" i="31063"/>
  <c r="N79" i="31063"/>
  <c r="N80" i="31063"/>
  <c r="N81" i="31063"/>
  <c r="N82" i="31063"/>
  <c r="N83" i="31063"/>
  <c r="N84" i="31063"/>
  <c r="N85" i="31063"/>
  <c r="N86" i="31063"/>
  <c r="N87" i="31063"/>
  <c r="N88" i="31063"/>
  <c r="N89" i="31063"/>
  <c r="N68" i="31063"/>
  <c r="N41" i="31063"/>
  <c r="N42" i="31063"/>
  <c r="N43" i="31063"/>
  <c r="N44" i="31063"/>
  <c r="N45" i="31063"/>
  <c r="N46" i="31063"/>
  <c r="N47" i="31063"/>
  <c r="N48" i="31063"/>
  <c r="N49" i="31063"/>
  <c r="N50" i="31063"/>
  <c r="N51" i="31063"/>
  <c r="N52" i="31063"/>
  <c r="N53" i="31063"/>
  <c r="N54" i="31063"/>
  <c r="N55" i="31063"/>
  <c r="N56" i="31063"/>
  <c r="N57" i="31063"/>
  <c r="N58" i="31063"/>
  <c r="N59" i="31063"/>
  <c r="N60" i="31063"/>
  <c r="N61" i="31063"/>
  <c r="N40" i="31063"/>
  <c r="O41" i="31063"/>
  <c r="P41" i="31063"/>
  <c r="O42" i="31063"/>
  <c r="P42" i="31063"/>
  <c r="O43" i="31063"/>
  <c r="P43" i="31063"/>
  <c r="O44" i="31063"/>
  <c r="P44" i="31063"/>
  <c r="O45" i="31063"/>
  <c r="P45" i="31063"/>
  <c r="O46" i="31063"/>
  <c r="P46" i="31063"/>
  <c r="O47" i="31063"/>
  <c r="P47" i="31063"/>
  <c r="O48" i="31063"/>
  <c r="P48" i="31063"/>
  <c r="O49" i="31063"/>
  <c r="P49" i="31063"/>
  <c r="O50" i="31063"/>
  <c r="P50" i="31063"/>
  <c r="O51" i="31063"/>
  <c r="P51" i="31063"/>
  <c r="O52" i="31063"/>
  <c r="P52" i="31063"/>
  <c r="O53" i="31063"/>
  <c r="P53" i="31063"/>
  <c r="O54" i="31063"/>
  <c r="P54" i="31063"/>
  <c r="O55" i="31063"/>
  <c r="P55" i="31063"/>
  <c r="P40" i="31063"/>
  <c r="O40" i="31063"/>
  <c r="F28" i="31060"/>
  <c r="H28" i="31060"/>
  <c r="I28" i="31063"/>
  <c r="F28" i="31063"/>
  <c r="E28" i="31063"/>
  <c r="D28" i="31063"/>
  <c r="C28" i="31063" s="1"/>
  <c r="N30" i="31089"/>
  <c r="P30" i="31089"/>
  <c r="Q30" i="31089"/>
  <c r="R30" i="31089"/>
  <c r="S30" i="31089"/>
  <c r="T30" i="31089"/>
  <c r="C30" i="31089"/>
  <c r="I28" i="31076"/>
  <c r="F28" i="31076"/>
  <c r="O64" i="31076" s="1"/>
  <c r="E28" i="31076"/>
  <c r="P29" i="31076" s="1"/>
  <c r="D28" i="31076"/>
  <c r="O29" i="31076" s="1"/>
  <c r="S101" i="31088"/>
  <c r="T101" i="31088"/>
  <c r="S72" i="31088"/>
  <c r="T72" i="31088"/>
  <c r="U72" i="31088"/>
  <c r="V72" i="31088"/>
  <c r="M28" i="31088"/>
  <c r="H28" i="31088"/>
  <c r="G28" i="31088"/>
  <c r="F28" i="31088"/>
  <c r="E28" i="31088"/>
  <c r="C28" i="31088" s="1"/>
  <c r="D28" i="31088"/>
  <c r="C32" i="2"/>
  <c r="S92" i="31087"/>
  <c r="T92" i="31087"/>
  <c r="S60" i="31087"/>
  <c r="T60" i="31087"/>
  <c r="U60" i="31087"/>
  <c r="V60" i="31087"/>
  <c r="X91" i="31086"/>
  <c r="W91" i="31086"/>
  <c r="Z60" i="31086"/>
  <c r="Y60" i="31086"/>
  <c r="X60" i="31086"/>
  <c r="W60" i="31086"/>
  <c r="U6" i="31086"/>
  <c r="U7" i="31086"/>
  <c r="U8" i="31086"/>
  <c r="U9" i="31086"/>
  <c r="U10" i="31086"/>
  <c r="U11" i="31086"/>
  <c r="U12" i="31086"/>
  <c r="U13" i="31086"/>
  <c r="U14" i="31086"/>
  <c r="U15" i="31086"/>
  <c r="U16" i="31086"/>
  <c r="U17" i="31086"/>
  <c r="U18" i="31086"/>
  <c r="U19" i="31086"/>
  <c r="U20" i="31086"/>
  <c r="U21" i="31086"/>
  <c r="U22" i="31086"/>
  <c r="U23" i="31086"/>
  <c r="U24" i="31086"/>
  <c r="U25" i="31086"/>
  <c r="U26" i="31086"/>
  <c r="U5" i="31086"/>
  <c r="M28" i="31087"/>
  <c r="H28" i="31087"/>
  <c r="G28" i="31087"/>
  <c r="V26" i="31087" s="1"/>
  <c r="F28" i="31087"/>
  <c r="C28" i="31087" s="1"/>
  <c r="R26" i="31087" s="1"/>
  <c r="E28" i="31087"/>
  <c r="D28" i="31087"/>
  <c r="D28" i="31086"/>
  <c r="E28" i="31086"/>
  <c r="X26" i="31086" s="1"/>
  <c r="F28" i="31086"/>
  <c r="Y26" i="31086" s="1"/>
  <c r="G28" i="31086"/>
  <c r="Z26" i="31086" s="1"/>
  <c r="H28" i="31086"/>
  <c r="M28" i="31086"/>
  <c r="AX58" i="31093"/>
  <c r="AU58" i="31093"/>
  <c r="AQ58" i="31093"/>
  <c r="BE58" i="31093"/>
  <c r="BD58" i="31093"/>
  <c r="BC58" i="31093"/>
  <c r="BB58" i="31093"/>
  <c r="BA58" i="31093"/>
  <c r="AY58" i="31093"/>
  <c r="AW58" i="31093"/>
  <c r="AT58" i="31093"/>
  <c r="AS58" i="31093"/>
  <c r="AR58" i="31093"/>
  <c r="AP58" i="31093"/>
  <c r="AN58" i="31093"/>
  <c r="AM58" i="31093"/>
  <c r="AL58" i="31093"/>
  <c r="AV58" i="31093"/>
  <c r="AO58" i="31093"/>
  <c r="AZ41" i="31093"/>
  <c r="AQ41" i="31093"/>
  <c r="BE41" i="31093"/>
  <c r="BD41" i="31093"/>
  <c r="BA41" i="31093"/>
  <c r="AX41" i="31093"/>
  <c r="AW41" i="31093"/>
  <c r="AV41" i="31093"/>
  <c r="AU41" i="31093"/>
  <c r="AT41" i="31093"/>
  <c r="AS41" i="31093"/>
  <c r="AR41" i="31093"/>
  <c r="AP41" i="31093"/>
  <c r="AO41" i="31093"/>
  <c r="AN41" i="31093"/>
  <c r="BC41" i="31093"/>
  <c r="AY41" i="31093"/>
  <c r="AM41" i="31093"/>
  <c r="BE29" i="31093"/>
  <c r="BD29" i="31093"/>
  <c r="X6" i="31093"/>
  <c r="R6" i="31093"/>
  <c r="O6" i="31093"/>
  <c r="L6" i="31093"/>
  <c r="K6" i="31093"/>
  <c r="C6" i="31093"/>
  <c r="Y6" i="31093"/>
  <c r="U6" i="31093"/>
  <c r="T6" i="31093"/>
  <c r="S6" i="31093"/>
  <c r="Q6" i="31093"/>
  <c r="P6" i="31093"/>
  <c r="M6" i="31093"/>
  <c r="J6" i="31093"/>
  <c r="I6" i="31093"/>
  <c r="F6" i="31093"/>
  <c r="E6" i="31093"/>
  <c r="D6" i="31093"/>
  <c r="B6" i="31093"/>
  <c r="BG12" i="31093"/>
  <c r="BE12" i="31093"/>
  <c r="BD12" i="31093"/>
  <c r="BC12" i="31093"/>
  <c r="BB12" i="31093"/>
  <c r="BA12" i="31093"/>
  <c r="AZ12" i="31093"/>
  <c r="AY12" i="31093"/>
  <c r="AX12" i="31093"/>
  <c r="AW12" i="31093"/>
  <c r="AV12" i="31093"/>
  <c r="AU12" i="31093"/>
  <c r="AT12" i="31093"/>
  <c r="AS12" i="31093"/>
  <c r="AR12" i="31093"/>
  <c r="AQ12" i="31093"/>
  <c r="AP12" i="31093"/>
  <c r="AO12" i="31093"/>
  <c r="AN12" i="31093"/>
  <c r="AM12" i="31093"/>
  <c r="AL12" i="31093"/>
  <c r="W6" i="31093"/>
  <c r="V6" i="31093"/>
  <c r="N6" i="31093"/>
  <c r="G6" i="31093"/>
  <c r="Y45" i="31092"/>
  <c r="T45" i="31092"/>
  <c r="O48" i="31092"/>
  <c r="F37" i="31092"/>
  <c r="E37" i="31092"/>
  <c r="D37" i="31092"/>
  <c r="C37" i="31092"/>
  <c r="F35" i="31092"/>
  <c r="E35" i="31092"/>
  <c r="D35" i="31092"/>
  <c r="C35" i="31092"/>
  <c r="F34" i="31092"/>
  <c r="E34" i="31092"/>
  <c r="D34" i="31092"/>
  <c r="F33" i="31092"/>
  <c r="E33" i="31092"/>
  <c r="D33" i="31092"/>
  <c r="C33" i="31092"/>
  <c r="F32" i="31092"/>
  <c r="E32" i="31092"/>
  <c r="D32" i="31092"/>
  <c r="C32" i="31092"/>
  <c r="F30" i="31092"/>
  <c r="E30" i="31092"/>
  <c r="D30" i="31092"/>
  <c r="C30" i="31092"/>
  <c r="L29" i="31092"/>
  <c r="AG29" i="31092" s="1"/>
  <c r="F27" i="31092"/>
  <c r="E27" i="31092"/>
  <c r="D27" i="31092"/>
  <c r="C27" i="31092"/>
  <c r="F26" i="31092"/>
  <c r="E26" i="31092"/>
  <c r="D26" i="31092"/>
  <c r="C26" i="31092"/>
  <c r="Y21" i="31092"/>
  <c r="Y48" i="31092" s="1"/>
  <c r="X21" i="31092"/>
  <c r="W21" i="31092"/>
  <c r="V21" i="31092"/>
  <c r="U21" i="31092"/>
  <c r="T21" i="31092"/>
  <c r="S21" i="31092"/>
  <c r="R21" i="31092"/>
  <c r="Q21" i="31092"/>
  <c r="Q48" i="31092" s="1"/>
  <c r="P21" i="31092"/>
  <c r="O21" i="31092"/>
  <c r="N21" i="31092"/>
  <c r="M21" i="31092"/>
  <c r="L21" i="31092"/>
  <c r="K21" i="31092"/>
  <c r="J21" i="31092"/>
  <c r="I21" i="31092"/>
  <c r="I48" i="31092" s="1"/>
  <c r="H21" i="31092"/>
  <c r="G21" i="31092"/>
  <c r="F21" i="31092"/>
  <c r="E21" i="31092"/>
  <c r="D21" i="31092"/>
  <c r="C21" i="31092"/>
  <c r="A17" i="31092"/>
  <c r="A18" i="31092" s="1"/>
  <c r="A19" i="31092" s="1"/>
  <c r="A20" i="31092" s="1"/>
  <c r="AB12" i="31092"/>
  <c r="AB48" i="31092" s="1"/>
  <c r="AA12" i="31092"/>
  <c r="Z12" i="31092"/>
  <c r="Z48" i="31092" s="1"/>
  <c r="Y12" i="31092"/>
  <c r="X12" i="31092"/>
  <c r="W12" i="31092"/>
  <c r="V12" i="31092"/>
  <c r="U12" i="31092"/>
  <c r="T12" i="31092"/>
  <c r="T48" i="31092" s="1"/>
  <c r="S12" i="31092"/>
  <c r="R12" i="31092"/>
  <c r="R48" i="31092" s="1"/>
  <c r="Q12" i="31092"/>
  <c r="P12" i="31092"/>
  <c r="P48" i="31092" s="1"/>
  <c r="O12" i="31092"/>
  <c r="N12" i="31092"/>
  <c r="M12" i="31092"/>
  <c r="L12" i="31092"/>
  <c r="K12" i="31092"/>
  <c r="K48" i="31092" s="1"/>
  <c r="J12" i="31092"/>
  <c r="I12" i="31092"/>
  <c r="H12" i="31092"/>
  <c r="H48" i="31092" s="1"/>
  <c r="G12" i="31092"/>
  <c r="G48" i="31092" s="1"/>
  <c r="F12" i="31092"/>
  <c r="E12" i="31092"/>
  <c r="D12" i="31092"/>
  <c r="C12" i="31092"/>
  <c r="A5" i="31092"/>
  <c r="A6" i="31092" s="1"/>
  <c r="A7" i="31092" s="1"/>
  <c r="A8" i="31092" s="1"/>
  <c r="A9" i="31092" s="1"/>
  <c r="A10" i="31092" s="1"/>
  <c r="A11" i="31092" s="1"/>
  <c r="A132" i="31091"/>
  <c r="A133" i="31091" s="1"/>
  <c r="A134" i="31091" s="1"/>
  <c r="A135" i="31091" s="1"/>
  <c r="A136" i="31091" s="1"/>
  <c r="A137" i="31091" s="1"/>
  <c r="A138" i="31091" s="1"/>
  <c r="A139" i="31091" s="1"/>
  <c r="A140" i="31091" s="1"/>
  <c r="A141" i="31091" s="1"/>
  <c r="A142" i="31091" s="1"/>
  <c r="A143" i="31091" s="1"/>
  <c r="A145" i="31091" s="1"/>
  <c r="V98" i="31090"/>
  <c r="V90" i="31090"/>
  <c r="U90" i="31090"/>
  <c r="T90" i="31090"/>
  <c r="V89" i="31090"/>
  <c r="U89" i="31090"/>
  <c r="T89" i="31090"/>
  <c r="V88" i="31090"/>
  <c r="U88" i="31090"/>
  <c r="T88" i="31090"/>
  <c r="V87" i="31090"/>
  <c r="U87" i="31090"/>
  <c r="T87" i="31090"/>
  <c r="V86" i="31090"/>
  <c r="U86" i="31090"/>
  <c r="T86" i="31090"/>
  <c r="V85" i="31090"/>
  <c r="U85" i="31090"/>
  <c r="T85" i="31090"/>
  <c r="V84" i="31090"/>
  <c r="U84" i="31090"/>
  <c r="T84" i="31090"/>
  <c r="V83" i="31090"/>
  <c r="U83" i="31090"/>
  <c r="T83" i="31090"/>
  <c r="V82" i="31090"/>
  <c r="U82" i="31090"/>
  <c r="T82" i="31090"/>
  <c r="V81" i="31090"/>
  <c r="U81" i="31090"/>
  <c r="T81" i="31090"/>
  <c r="V80" i="31090"/>
  <c r="U80" i="31090"/>
  <c r="T80" i="31090"/>
  <c r="V79" i="31090"/>
  <c r="U79" i="31090"/>
  <c r="T79" i="31090"/>
  <c r="V78" i="31090"/>
  <c r="U78" i="31090"/>
  <c r="T78" i="31090"/>
  <c r="V77" i="31090"/>
  <c r="U77" i="31090"/>
  <c r="T77" i="31090"/>
  <c r="V76" i="31090"/>
  <c r="U76" i="31090"/>
  <c r="T76" i="31090"/>
  <c r="V75" i="31090"/>
  <c r="U75" i="31090"/>
  <c r="T75" i="31090"/>
  <c r="V74" i="31090"/>
  <c r="U74" i="31090"/>
  <c r="T74" i="31090"/>
  <c r="V72" i="31090"/>
  <c r="U72" i="31090"/>
  <c r="T72" i="31090"/>
  <c r="V71" i="31090"/>
  <c r="U71" i="31090"/>
  <c r="T71" i="31090"/>
  <c r="V70" i="31090"/>
  <c r="U70" i="31090"/>
  <c r="T70" i="31090"/>
  <c r="V69" i="31090"/>
  <c r="U69" i="31090"/>
  <c r="T69" i="31090"/>
  <c r="V62" i="31090"/>
  <c r="U62" i="31090"/>
  <c r="T62" i="31090"/>
  <c r="V61" i="31090"/>
  <c r="U61" i="31090"/>
  <c r="T61" i="31090"/>
  <c r="V60" i="31090"/>
  <c r="U60" i="31090"/>
  <c r="T60" i="31090"/>
  <c r="V59" i="31090"/>
  <c r="U59" i="31090"/>
  <c r="T59" i="31090"/>
  <c r="V58" i="31090"/>
  <c r="U58" i="31090"/>
  <c r="T58" i="31090"/>
  <c r="V57" i="31090"/>
  <c r="U57" i="31090"/>
  <c r="T57" i="31090"/>
  <c r="V56" i="31090"/>
  <c r="U56" i="31090"/>
  <c r="T56" i="31090"/>
  <c r="V55" i="31090"/>
  <c r="U55" i="31090"/>
  <c r="T55" i="31090"/>
  <c r="V54" i="31090"/>
  <c r="U54" i="31090"/>
  <c r="T54" i="31090"/>
  <c r="V53" i="31090"/>
  <c r="U53" i="31090"/>
  <c r="T53" i="31090"/>
  <c r="V52" i="31090"/>
  <c r="U52" i="31090"/>
  <c r="T52" i="31090"/>
  <c r="V51" i="31090"/>
  <c r="U51" i="31090"/>
  <c r="T51" i="31090"/>
  <c r="V50" i="31090"/>
  <c r="U50" i="31090"/>
  <c r="T50" i="31090"/>
  <c r="V49" i="31090"/>
  <c r="U49" i="31090"/>
  <c r="T49" i="31090"/>
  <c r="V48" i="31090"/>
  <c r="U48" i="31090"/>
  <c r="T48" i="31090"/>
  <c r="V47" i="31090"/>
  <c r="U47" i="31090"/>
  <c r="T47" i="31090"/>
  <c r="V46" i="31090"/>
  <c r="U46" i="31090"/>
  <c r="T46" i="31090"/>
  <c r="V45" i="31090"/>
  <c r="U45" i="31090"/>
  <c r="T45" i="31090"/>
  <c r="V44" i="31090"/>
  <c r="U44" i="31090"/>
  <c r="T44" i="31090"/>
  <c r="V43" i="31090"/>
  <c r="U43" i="31090"/>
  <c r="T43" i="31090"/>
  <c r="L28" i="31090"/>
  <c r="U29" i="31090" s="1"/>
  <c r="H28" i="31090"/>
  <c r="T29" i="31090" s="1"/>
  <c r="G28" i="31090"/>
  <c r="U118" i="31090" s="1"/>
  <c r="F28" i="31090"/>
  <c r="T118" i="31090" s="1"/>
  <c r="E28" i="31090"/>
  <c r="S118" i="31090"/>
  <c r="L27" i="31090"/>
  <c r="U28" i="31090" s="1"/>
  <c r="H27" i="31090"/>
  <c r="T28" i="31090" s="1"/>
  <c r="G27" i="31090"/>
  <c r="U117" i="31090" s="1"/>
  <c r="F27" i="31090"/>
  <c r="T117" i="31090" s="1"/>
  <c r="E27" i="31090"/>
  <c r="S117" i="31090"/>
  <c r="L26" i="31090"/>
  <c r="U27" i="31090" s="1"/>
  <c r="S27" i="31090" s="1"/>
  <c r="H26" i="31090"/>
  <c r="T27" i="31090" s="1"/>
  <c r="G26" i="31090"/>
  <c r="U116" i="31090" s="1"/>
  <c r="F26" i="31090"/>
  <c r="T116" i="31090" s="1"/>
  <c r="E26" i="31090"/>
  <c r="S116" i="31090" s="1"/>
  <c r="L25" i="31090"/>
  <c r="S87" i="31090" s="1"/>
  <c r="H25" i="31090"/>
  <c r="T26" i="31090" s="1"/>
  <c r="G25" i="31090"/>
  <c r="U115" i="31090"/>
  <c r="F25" i="31090"/>
  <c r="T115" i="31090" s="1"/>
  <c r="E25" i="31090"/>
  <c r="S115" i="31090" s="1"/>
  <c r="L24" i="31090"/>
  <c r="S86" i="31090" s="1"/>
  <c r="H24" i="31090"/>
  <c r="T25" i="31090" s="1"/>
  <c r="G24" i="31090"/>
  <c r="U114" i="31090" s="1"/>
  <c r="F24" i="31090"/>
  <c r="T114" i="31090" s="1"/>
  <c r="E24" i="31090"/>
  <c r="S114" i="31090" s="1"/>
  <c r="L23" i="31090"/>
  <c r="U24" i="31090" s="1"/>
  <c r="H23" i="31090"/>
  <c r="S58" i="31090" s="1"/>
  <c r="G23" i="31090"/>
  <c r="U113" i="31090" s="1"/>
  <c r="F23" i="31090"/>
  <c r="T113" i="31090" s="1"/>
  <c r="E23" i="31090"/>
  <c r="S113" i="31090" s="1"/>
  <c r="L22" i="31090"/>
  <c r="S84" i="31090" s="1"/>
  <c r="H22" i="31090"/>
  <c r="S57" i="31090" s="1"/>
  <c r="G22" i="31090"/>
  <c r="U112" i="31090" s="1"/>
  <c r="F22" i="31090"/>
  <c r="T112" i="31090" s="1"/>
  <c r="E22" i="31090"/>
  <c r="S112" i="31090" s="1"/>
  <c r="L21" i="31090"/>
  <c r="S83" i="31090" s="1"/>
  <c r="H21" i="31090"/>
  <c r="T22" i="31090" s="1"/>
  <c r="G21" i="31090"/>
  <c r="U111" i="31090" s="1"/>
  <c r="F21" i="31090"/>
  <c r="T111" i="31090" s="1"/>
  <c r="E21" i="31090"/>
  <c r="S111" i="31090" s="1"/>
  <c r="L20" i="31090"/>
  <c r="U21" i="31090" s="1"/>
  <c r="H20" i="31090"/>
  <c r="T21" i="31090" s="1"/>
  <c r="G20" i="31090"/>
  <c r="U110" i="31090" s="1"/>
  <c r="F20" i="31090"/>
  <c r="E20" i="31090"/>
  <c r="S110" i="31090" s="1"/>
  <c r="L19" i="31090"/>
  <c r="S81" i="31090" s="1"/>
  <c r="H19" i="31090"/>
  <c r="G19" i="31090"/>
  <c r="U109" i="31090" s="1"/>
  <c r="F19" i="31090"/>
  <c r="T109" i="31090" s="1"/>
  <c r="E19" i="31090"/>
  <c r="S109" i="31090" s="1"/>
  <c r="L18" i="31090"/>
  <c r="U19" i="31090" s="1"/>
  <c r="H18" i="31090"/>
  <c r="T19" i="31090"/>
  <c r="G18" i="31090"/>
  <c r="U108" i="31090" s="1"/>
  <c r="F18" i="31090"/>
  <c r="T108" i="31090" s="1"/>
  <c r="E18" i="31090"/>
  <c r="S108" i="31090" s="1"/>
  <c r="L17" i="31090"/>
  <c r="S79" i="31090"/>
  <c r="H17" i="31090"/>
  <c r="S52" i="31090" s="1"/>
  <c r="G17" i="31090"/>
  <c r="U107" i="31090" s="1"/>
  <c r="F17" i="31090"/>
  <c r="T107" i="31090" s="1"/>
  <c r="E17" i="31090"/>
  <c r="S107" i="31090" s="1"/>
  <c r="L16" i="31090"/>
  <c r="U17" i="31090" s="1"/>
  <c r="H16" i="31090"/>
  <c r="S51" i="31090" s="1"/>
  <c r="G16" i="31090"/>
  <c r="U106" i="31090" s="1"/>
  <c r="F16" i="31090"/>
  <c r="T106" i="31090" s="1"/>
  <c r="E16" i="31090"/>
  <c r="S106" i="31090" s="1"/>
  <c r="L15" i="31090"/>
  <c r="U16" i="31090" s="1"/>
  <c r="H15" i="31090"/>
  <c r="S50" i="31090" s="1"/>
  <c r="G15" i="31090"/>
  <c r="U105" i="31090" s="1"/>
  <c r="F15" i="31090"/>
  <c r="T105" i="31090" s="1"/>
  <c r="E15" i="31090"/>
  <c r="S105" i="31090" s="1"/>
  <c r="L14" i="31090"/>
  <c r="U15" i="31090" s="1"/>
  <c r="H14" i="31090"/>
  <c r="T15" i="31090" s="1"/>
  <c r="G14" i="31090"/>
  <c r="U104" i="31090"/>
  <c r="F14" i="31090"/>
  <c r="T104" i="31090" s="1"/>
  <c r="E14" i="31090"/>
  <c r="S104" i="31090" s="1"/>
  <c r="L13" i="31090"/>
  <c r="S75" i="31090" s="1"/>
  <c r="H13" i="31090"/>
  <c r="T14" i="31090" s="1"/>
  <c r="G13" i="31090"/>
  <c r="U103" i="31090" s="1"/>
  <c r="F13" i="31090"/>
  <c r="T103" i="31090" s="1"/>
  <c r="E13" i="31090"/>
  <c r="S103" i="31090" s="1"/>
  <c r="L12" i="31090"/>
  <c r="U13" i="31090" s="1"/>
  <c r="H12" i="31090"/>
  <c r="G12" i="31090"/>
  <c r="U102" i="31090" s="1"/>
  <c r="F12" i="31090"/>
  <c r="T102" i="31090" s="1"/>
  <c r="E12" i="31090"/>
  <c r="S102" i="31090" s="1"/>
  <c r="L11" i="31090"/>
  <c r="U12" i="31090" s="1"/>
  <c r="H11" i="31090"/>
  <c r="S46" i="31090" s="1"/>
  <c r="G11" i="31090"/>
  <c r="U101" i="31090" s="1"/>
  <c r="F11" i="31090"/>
  <c r="T101" i="31090"/>
  <c r="E11" i="31090"/>
  <c r="S101" i="31090" s="1"/>
  <c r="L10" i="31090"/>
  <c r="H10" i="31090"/>
  <c r="T11" i="31090" s="1"/>
  <c r="G10" i="31090"/>
  <c r="U100" i="31090" s="1"/>
  <c r="F10" i="31090"/>
  <c r="T100" i="31090" s="1"/>
  <c r="E10" i="31090"/>
  <c r="S100" i="31090" s="1"/>
  <c r="L9" i="31090"/>
  <c r="S70" i="31090" s="1"/>
  <c r="H9" i="31090"/>
  <c r="S44" i="31090" s="1"/>
  <c r="G9" i="31090"/>
  <c r="U99" i="31090"/>
  <c r="F9" i="31090"/>
  <c r="T99" i="31090" s="1"/>
  <c r="E9" i="31090"/>
  <c r="S99" i="31090" s="1"/>
  <c r="L8" i="31090"/>
  <c r="U9" i="31090" s="1"/>
  <c r="H8" i="31090"/>
  <c r="S43" i="31090"/>
  <c r="G8" i="31090"/>
  <c r="U98" i="31090" s="1"/>
  <c r="F8" i="31090"/>
  <c r="T98" i="31090" s="1"/>
  <c r="E8" i="31090"/>
  <c r="S98" i="31090" s="1"/>
  <c r="Y60" i="1049"/>
  <c r="Z60" i="1049"/>
  <c r="AA60" i="1049"/>
  <c r="AB60" i="1049"/>
  <c r="T60" i="1049"/>
  <c r="U60" i="1049"/>
  <c r="W60" i="1049" s="1"/>
  <c r="I27" i="1049"/>
  <c r="N27" i="1049"/>
  <c r="D27" i="31067"/>
  <c r="C27" i="31067"/>
  <c r="K27" i="31060"/>
  <c r="F27" i="31060" s="1"/>
  <c r="I27" i="31063"/>
  <c r="P88" i="31063"/>
  <c r="F27" i="31063"/>
  <c r="O88" i="31063"/>
  <c r="E27" i="31063"/>
  <c r="P60" i="31063" s="1"/>
  <c r="D27" i="31063"/>
  <c r="O60" i="31063"/>
  <c r="I27" i="31076"/>
  <c r="P63" i="31076" s="1"/>
  <c r="F27" i="31076"/>
  <c r="O63" i="31076"/>
  <c r="E27" i="31076"/>
  <c r="P28" i="31076" s="1"/>
  <c r="D27" i="31076"/>
  <c r="O28" i="31076" s="1"/>
  <c r="P29" i="31089"/>
  <c r="Q29" i="31089"/>
  <c r="R29" i="31089"/>
  <c r="S29" i="31089"/>
  <c r="T29" i="31089"/>
  <c r="C29" i="31089"/>
  <c r="N29" i="31089"/>
  <c r="S100" i="31088"/>
  <c r="T100" i="31088"/>
  <c r="S71" i="31088"/>
  <c r="T71" i="31088"/>
  <c r="U71" i="31088"/>
  <c r="V71" i="31088"/>
  <c r="M27" i="31088"/>
  <c r="H27" i="31088"/>
  <c r="G27" i="31088"/>
  <c r="V28" i="31088" s="1"/>
  <c r="F27" i="31088"/>
  <c r="U28" i="31088" s="1"/>
  <c r="E27" i="31088"/>
  <c r="C27" i="31088" s="1"/>
  <c r="D27" i="31088"/>
  <c r="S91" i="31087"/>
  <c r="T91" i="31087"/>
  <c r="S59" i="31087"/>
  <c r="T59" i="31087"/>
  <c r="U59" i="31087"/>
  <c r="V59" i="31087"/>
  <c r="M27" i="31087"/>
  <c r="R91" i="31087" s="1"/>
  <c r="H27" i="31087"/>
  <c r="G27" i="31087"/>
  <c r="V25" i="31087" s="1"/>
  <c r="F27" i="31087"/>
  <c r="U25" i="31087" s="1"/>
  <c r="E27" i="31087"/>
  <c r="T25" i="31087" s="1"/>
  <c r="D27" i="31087"/>
  <c r="W59" i="31086"/>
  <c r="X59" i="31086"/>
  <c r="Y59" i="31086"/>
  <c r="Z59" i="31086"/>
  <c r="W90" i="31086"/>
  <c r="X90" i="31086"/>
  <c r="M27" i="31086"/>
  <c r="H27" i="31086"/>
  <c r="G27" i="31086"/>
  <c r="Z25" i="31086"/>
  <c r="F27" i="31086"/>
  <c r="Y25" i="31086"/>
  <c r="E27" i="31086"/>
  <c r="X25" i="31086"/>
  <c r="D27" i="31086"/>
  <c r="E26" i="31067"/>
  <c r="C26" i="31067" s="1"/>
  <c r="C26" i="31065"/>
  <c r="C26" i="31060"/>
  <c r="G26" i="31063"/>
  <c r="D26" i="31076"/>
  <c r="C26" i="31076" s="1"/>
  <c r="E26" i="31076"/>
  <c r="P27" i="31076" s="1"/>
  <c r="F26" i="31076"/>
  <c r="I26" i="31076"/>
  <c r="P62" i="31076" s="1"/>
  <c r="Y59" i="1049"/>
  <c r="Z59" i="1049"/>
  <c r="AA59" i="1049"/>
  <c r="AB59" i="1049"/>
  <c r="T59" i="1049"/>
  <c r="U59" i="1049"/>
  <c r="N26" i="1049"/>
  <c r="D26" i="1049" s="1"/>
  <c r="O27" i="1049" s="1"/>
  <c r="I26" i="1049"/>
  <c r="I25" i="31063"/>
  <c r="P86" i="31063" s="1"/>
  <c r="F25" i="31063"/>
  <c r="O86" i="31063" s="1"/>
  <c r="E25" i="31063"/>
  <c r="P58" i="31063" s="1"/>
  <c r="D25" i="31063"/>
  <c r="O58" i="31063" s="1"/>
  <c r="H32" i="2"/>
  <c r="H26" i="2"/>
  <c r="T28" i="31089"/>
  <c r="S28" i="31089"/>
  <c r="R28" i="31089"/>
  <c r="Q28" i="31089"/>
  <c r="P28" i="31089"/>
  <c r="N28" i="31089"/>
  <c r="C28" i="31089"/>
  <c r="T27" i="31089"/>
  <c r="S27" i="31089"/>
  <c r="R27" i="31089"/>
  <c r="Q27" i="31089"/>
  <c r="P27" i="31089"/>
  <c r="N27" i="31089"/>
  <c r="C27" i="31089"/>
  <c r="T26" i="31089"/>
  <c r="S26" i="31089"/>
  <c r="R26" i="31089"/>
  <c r="Q26" i="31089"/>
  <c r="P26" i="31089"/>
  <c r="N26" i="31089"/>
  <c r="C26" i="31089"/>
  <c r="T25" i="31089"/>
  <c r="S25" i="31089"/>
  <c r="R25" i="31089"/>
  <c r="Q25" i="31089"/>
  <c r="P25" i="31089"/>
  <c r="N25" i="31089"/>
  <c r="C25" i="31089"/>
  <c r="T24" i="31089"/>
  <c r="S24" i="31089"/>
  <c r="R24" i="31089"/>
  <c r="Q24" i="31089"/>
  <c r="P24" i="31089"/>
  <c r="N24" i="31089"/>
  <c r="C24" i="31089"/>
  <c r="T23" i="31089"/>
  <c r="S23" i="31089"/>
  <c r="R23" i="31089"/>
  <c r="Q23" i="31089"/>
  <c r="P23" i="31089"/>
  <c r="N23" i="31089"/>
  <c r="C23" i="31089"/>
  <c r="T22" i="31089"/>
  <c r="S22" i="31089"/>
  <c r="R22" i="31089"/>
  <c r="Q22" i="31089"/>
  <c r="P22" i="31089"/>
  <c r="N22" i="31089"/>
  <c r="C22" i="31089"/>
  <c r="T21" i="31089"/>
  <c r="S21" i="31089"/>
  <c r="R21" i="31089"/>
  <c r="Q21" i="31089"/>
  <c r="P21" i="31089"/>
  <c r="N21" i="31089"/>
  <c r="C21" i="31089"/>
  <c r="T20" i="31089"/>
  <c r="S20" i="31089"/>
  <c r="R20" i="31089"/>
  <c r="Q20" i="31089"/>
  <c r="P20" i="31089"/>
  <c r="N20" i="31089"/>
  <c r="C20" i="31089"/>
  <c r="T19" i="31089"/>
  <c r="S19" i="31089"/>
  <c r="R19" i="31089"/>
  <c r="Q19" i="31089"/>
  <c r="P19" i="31089"/>
  <c r="N19" i="31089"/>
  <c r="C19" i="31089"/>
  <c r="T18" i="31089"/>
  <c r="S18" i="31089"/>
  <c r="R18" i="31089"/>
  <c r="Q18" i="31089"/>
  <c r="P18" i="31089"/>
  <c r="N18" i="31089"/>
  <c r="C18" i="31089"/>
  <c r="T17" i="31089"/>
  <c r="S17" i="31089"/>
  <c r="R17" i="31089"/>
  <c r="Q17" i="31089"/>
  <c r="P17" i="31089"/>
  <c r="N17" i="31089"/>
  <c r="C17" i="31089"/>
  <c r="T16" i="31089"/>
  <c r="S16" i="31089"/>
  <c r="R16" i="31089"/>
  <c r="Q16" i="31089"/>
  <c r="P16" i="31089"/>
  <c r="N16" i="31089"/>
  <c r="C16" i="31089"/>
  <c r="T15" i="31089"/>
  <c r="S15" i="31089"/>
  <c r="R15" i="31089"/>
  <c r="Q15" i="31089"/>
  <c r="P15" i="31089"/>
  <c r="N15" i="31089"/>
  <c r="C15" i="31089"/>
  <c r="T14" i="31089"/>
  <c r="S14" i="31089"/>
  <c r="R14" i="31089"/>
  <c r="Q14" i="31089"/>
  <c r="P14" i="31089"/>
  <c r="N14" i="31089"/>
  <c r="C14" i="31089"/>
  <c r="T13" i="31089"/>
  <c r="S13" i="31089"/>
  <c r="R13" i="31089"/>
  <c r="Q13" i="31089"/>
  <c r="P13" i="31089"/>
  <c r="N13" i="31089"/>
  <c r="C13" i="31089"/>
  <c r="T12" i="31089"/>
  <c r="S12" i="31089"/>
  <c r="R12" i="31089"/>
  <c r="Q12" i="31089"/>
  <c r="P12" i="31089"/>
  <c r="N12" i="31089"/>
  <c r="C12" i="31089"/>
  <c r="T11" i="31089"/>
  <c r="S11" i="31089"/>
  <c r="R11" i="31089"/>
  <c r="Q11" i="31089"/>
  <c r="P11" i="31089"/>
  <c r="N11" i="31089"/>
  <c r="C11" i="31089"/>
  <c r="T10" i="31089"/>
  <c r="S10" i="31089"/>
  <c r="R10" i="31089"/>
  <c r="Q10" i="31089"/>
  <c r="P10" i="31089"/>
  <c r="O10" i="31089" s="1"/>
  <c r="N10" i="31089"/>
  <c r="C10" i="31089"/>
  <c r="T9" i="31089"/>
  <c r="S9" i="31089"/>
  <c r="R9" i="31089"/>
  <c r="Q9" i="31089"/>
  <c r="P9" i="31089"/>
  <c r="N9" i="31089"/>
  <c r="C9" i="31089"/>
  <c r="S99" i="31088"/>
  <c r="U70" i="31088"/>
  <c r="T69" i="31088"/>
  <c r="S68" i="31088"/>
  <c r="T99" i="31088"/>
  <c r="M26" i="31088"/>
  <c r="V70" i="31088"/>
  <c r="G26" i="31088"/>
  <c r="V27" i="31088" s="1"/>
  <c r="F26" i="31088"/>
  <c r="U27" i="31088"/>
  <c r="E26" i="31088"/>
  <c r="T98" i="31088"/>
  <c r="M25" i="31088"/>
  <c r="G25" i="31088"/>
  <c r="U69" i="31088"/>
  <c r="S69" i="31088"/>
  <c r="H25" i="31088"/>
  <c r="E25" i="31088"/>
  <c r="T26" i="31088" s="1"/>
  <c r="D25" i="31088"/>
  <c r="T97" i="31088"/>
  <c r="S97" i="31088"/>
  <c r="H24" i="31088"/>
  <c r="T68" i="31088"/>
  <c r="G24" i="31088"/>
  <c r="D24" i="31088"/>
  <c r="C24" i="31088" s="1"/>
  <c r="T96" i="31088"/>
  <c r="M23" i="31088"/>
  <c r="T67" i="31088"/>
  <c r="H23" i="31088"/>
  <c r="G23" i="31088"/>
  <c r="E23" i="31088"/>
  <c r="T24" i="31088" s="1"/>
  <c r="D23" i="31088"/>
  <c r="S24" i="31088" s="1"/>
  <c r="T95" i="31088"/>
  <c r="S95" i="31088"/>
  <c r="M22" i="31088"/>
  <c r="T66" i="31088"/>
  <c r="S66" i="31088"/>
  <c r="H22" i="31088"/>
  <c r="G22" i="31088"/>
  <c r="E22" i="31088"/>
  <c r="T23" i="31088" s="1"/>
  <c r="D22" i="31088"/>
  <c r="S23" i="31088" s="1"/>
  <c r="T94" i="31088"/>
  <c r="S94" i="31088"/>
  <c r="M21" i="31088"/>
  <c r="H21" i="31088"/>
  <c r="T65" i="31088"/>
  <c r="S65" i="31088"/>
  <c r="G21" i="31088"/>
  <c r="E21" i="31088"/>
  <c r="D21" i="31088"/>
  <c r="S22" i="31088" s="1"/>
  <c r="T93" i="31088"/>
  <c r="S93" i="31088"/>
  <c r="T64" i="31088"/>
  <c r="S64" i="31088"/>
  <c r="G20" i="31088"/>
  <c r="C20" i="31088" s="1"/>
  <c r="E20" i="31088"/>
  <c r="T21" i="31088" s="1"/>
  <c r="D20" i="31088"/>
  <c r="T92" i="31088"/>
  <c r="M19" i="31088"/>
  <c r="T63" i="31088"/>
  <c r="H19" i="31088"/>
  <c r="G19" i="31088"/>
  <c r="E19" i="31088"/>
  <c r="C19" i="31088" s="1"/>
  <c r="D19" i="31088"/>
  <c r="T91" i="31088"/>
  <c r="S91" i="31088"/>
  <c r="M18" i="31088"/>
  <c r="T62" i="31088"/>
  <c r="S62" i="31088"/>
  <c r="H18" i="31088"/>
  <c r="G18" i="31088"/>
  <c r="E18" i="31088"/>
  <c r="T19" i="31088" s="1"/>
  <c r="D18" i="31088"/>
  <c r="T90" i="31088"/>
  <c r="S90" i="31088"/>
  <c r="M17" i="31088"/>
  <c r="T61" i="31088"/>
  <c r="H17" i="31088"/>
  <c r="G17" i="31088"/>
  <c r="C17" i="31088" s="1"/>
  <c r="E17" i="31088"/>
  <c r="T18" i="31088" s="1"/>
  <c r="D17" i="31088"/>
  <c r="T89" i="31088"/>
  <c r="S89" i="31088"/>
  <c r="T60" i="31088"/>
  <c r="S60" i="31088"/>
  <c r="G16" i="31088"/>
  <c r="E16" i="31088"/>
  <c r="T17" i="31088" s="1"/>
  <c r="D16" i="31088"/>
  <c r="S17" i="31088"/>
  <c r="T88" i="31088"/>
  <c r="M15" i="31088"/>
  <c r="T59" i="31088"/>
  <c r="H15" i="31088"/>
  <c r="G15" i="31088"/>
  <c r="E15" i="31088"/>
  <c r="C15" i="31088" s="1"/>
  <c r="D15" i="31088"/>
  <c r="T87" i="31088"/>
  <c r="S87" i="31088"/>
  <c r="M14" i="31088"/>
  <c r="T58" i="31088"/>
  <c r="S58" i="31088"/>
  <c r="H14" i="31088"/>
  <c r="G14" i="31088"/>
  <c r="E14" i="31088"/>
  <c r="T15" i="31088"/>
  <c r="D14" i="31088"/>
  <c r="M13" i="31088"/>
  <c r="S86" i="31088"/>
  <c r="T57" i="31088"/>
  <c r="H13" i="31088"/>
  <c r="G13" i="31088"/>
  <c r="E13" i="31088"/>
  <c r="T14" i="31088"/>
  <c r="D13" i="31088"/>
  <c r="T85" i="31088"/>
  <c r="S85" i="31088"/>
  <c r="T56" i="31088"/>
  <c r="S56" i="31088"/>
  <c r="G12" i="31088"/>
  <c r="E12" i="31088"/>
  <c r="T13" i="31088"/>
  <c r="D12" i="31088"/>
  <c r="S13" i="31088" s="1"/>
  <c r="T84" i="31088"/>
  <c r="M11" i="31088"/>
  <c r="T55" i="31088"/>
  <c r="H11" i="31088"/>
  <c r="G11" i="31088"/>
  <c r="E11" i="31088"/>
  <c r="T12" i="31088"/>
  <c r="D11" i="31088"/>
  <c r="S12" i="31088"/>
  <c r="T83" i="31088"/>
  <c r="S83" i="31088"/>
  <c r="M10" i="31088"/>
  <c r="T54" i="31088"/>
  <c r="S54" i="31088"/>
  <c r="H10" i="31088"/>
  <c r="G10" i="31088"/>
  <c r="E10" i="31088"/>
  <c r="T11" i="31088" s="1"/>
  <c r="D10" i="31088"/>
  <c r="S11" i="31088" s="1"/>
  <c r="T82" i="31088"/>
  <c r="M9" i="31088"/>
  <c r="T53" i="31088"/>
  <c r="H9" i="31088"/>
  <c r="G9" i="31088"/>
  <c r="E9" i="31088"/>
  <c r="T10" i="31088"/>
  <c r="D9" i="31088"/>
  <c r="T81" i="31088"/>
  <c r="S81" i="31088"/>
  <c r="T52" i="31088"/>
  <c r="S52" i="31088"/>
  <c r="G8" i="31088"/>
  <c r="E8" i="31088"/>
  <c r="C8" i="31088"/>
  <c r="D8" i="31088"/>
  <c r="S9" i="31088" s="1"/>
  <c r="T80" i="31088"/>
  <c r="M7" i="31088"/>
  <c r="T51" i="31088"/>
  <c r="D7" i="31088"/>
  <c r="S8" i="31088" s="1"/>
  <c r="E7" i="31088"/>
  <c r="T8" i="31088" s="1"/>
  <c r="U58" i="31087"/>
  <c r="U56" i="31087"/>
  <c r="T55" i="31087"/>
  <c r="S54" i="31087"/>
  <c r="T90" i="31087"/>
  <c r="V58" i="31087"/>
  <c r="G26" i="31087"/>
  <c r="F26" i="31087"/>
  <c r="F34" i="31087" s="1"/>
  <c r="U24" i="31087"/>
  <c r="T89" i="31087"/>
  <c r="S89" i="31087"/>
  <c r="H25" i="31087"/>
  <c r="R57" i="31087" s="1"/>
  <c r="T57" i="31087"/>
  <c r="S57" i="31087"/>
  <c r="G25" i="31087"/>
  <c r="D25" i="31087"/>
  <c r="S23" i="31087" s="1"/>
  <c r="T88" i="31087"/>
  <c r="S88" i="31087"/>
  <c r="M24" i="31087"/>
  <c r="R88" i="31087" s="1"/>
  <c r="T56" i="31087"/>
  <c r="H24" i="31087"/>
  <c r="R56" i="31087" s="1"/>
  <c r="G24" i="31087"/>
  <c r="F24" i="31087"/>
  <c r="U22" i="31087" s="1"/>
  <c r="E24" i="31087"/>
  <c r="T22" i="31087" s="1"/>
  <c r="T87" i="31087"/>
  <c r="S87" i="31087"/>
  <c r="S55" i="31087"/>
  <c r="G23" i="31087"/>
  <c r="E23" i="31087"/>
  <c r="D23" i="31087"/>
  <c r="T86" i="31087"/>
  <c r="S86" i="31087"/>
  <c r="M22" i="31087"/>
  <c r="R86" i="31087" s="1"/>
  <c r="T54" i="31087"/>
  <c r="H22" i="31087"/>
  <c r="R54" i="31087" s="1"/>
  <c r="G22" i="31087"/>
  <c r="E22" i="31087"/>
  <c r="D22" i="31087"/>
  <c r="S20" i="31087" s="1"/>
  <c r="T85" i="31087"/>
  <c r="S85" i="31087"/>
  <c r="T53" i="31087"/>
  <c r="S53" i="31087"/>
  <c r="G21" i="31087"/>
  <c r="E21" i="31087"/>
  <c r="D21" i="31087"/>
  <c r="T84" i="31087"/>
  <c r="S84" i="31087"/>
  <c r="M20" i="31087"/>
  <c r="R84" i="31087" s="1"/>
  <c r="T52" i="31087"/>
  <c r="S52" i="31087"/>
  <c r="H20" i="31087"/>
  <c r="G20" i="31087"/>
  <c r="E20" i="31087"/>
  <c r="T18" i="31087" s="1"/>
  <c r="D20" i="31087"/>
  <c r="T83" i="31087"/>
  <c r="S83" i="31087"/>
  <c r="T51" i="31087"/>
  <c r="S51" i="31087"/>
  <c r="G19" i="31087"/>
  <c r="E19" i="31087"/>
  <c r="T17" i="31087" s="1"/>
  <c r="D19" i="31087"/>
  <c r="T82" i="31087"/>
  <c r="S82" i="31087"/>
  <c r="M18" i="31087"/>
  <c r="R82" i="31087" s="1"/>
  <c r="T50" i="31087"/>
  <c r="S50" i="31087"/>
  <c r="H18" i="31087"/>
  <c r="G18" i="31087"/>
  <c r="E18" i="31087"/>
  <c r="T16" i="31087" s="1"/>
  <c r="D18" i="31087"/>
  <c r="T81" i="31087"/>
  <c r="S81" i="31087"/>
  <c r="T49" i="31087"/>
  <c r="S49" i="31087"/>
  <c r="G17" i="31087"/>
  <c r="E17" i="31087"/>
  <c r="T15" i="31087" s="1"/>
  <c r="D17" i="31087"/>
  <c r="S15" i="31087" s="1"/>
  <c r="S80" i="31087"/>
  <c r="M16" i="31087"/>
  <c r="R80" i="31087" s="1"/>
  <c r="T48" i="31087"/>
  <c r="H16" i="31087"/>
  <c r="R48" i="31087" s="1"/>
  <c r="G16" i="31087"/>
  <c r="E16" i="31087"/>
  <c r="T14" i="31087"/>
  <c r="D16" i="31087"/>
  <c r="T79" i="31087"/>
  <c r="S79" i="31087"/>
  <c r="T47" i="31087"/>
  <c r="S47" i="31087"/>
  <c r="G15" i="31087"/>
  <c r="E15" i="31087"/>
  <c r="T13" i="31087"/>
  <c r="D15" i="31087"/>
  <c r="S13" i="31087" s="1"/>
  <c r="T78" i="31087"/>
  <c r="S78" i="31087"/>
  <c r="M14" i="31087"/>
  <c r="R78" i="31087" s="1"/>
  <c r="T46" i="31087"/>
  <c r="S46" i="31087"/>
  <c r="H14" i="31087"/>
  <c r="R46" i="31087" s="1"/>
  <c r="G14" i="31087"/>
  <c r="E14" i="31087"/>
  <c r="T12" i="31087" s="1"/>
  <c r="D14" i="31087"/>
  <c r="T77" i="31087"/>
  <c r="S77" i="31087"/>
  <c r="E13" i="31087"/>
  <c r="T11" i="31087" s="1"/>
  <c r="S45" i="31087"/>
  <c r="D13" i="31087"/>
  <c r="S11" i="31087" s="1"/>
  <c r="T76" i="31087"/>
  <c r="M12" i="31087"/>
  <c r="R76" i="31087" s="1"/>
  <c r="T44" i="31087"/>
  <c r="S44" i="31087"/>
  <c r="G12" i="31087"/>
  <c r="E12" i="31087"/>
  <c r="T10" i="31087" s="1"/>
  <c r="D12" i="31087"/>
  <c r="S10" i="31087" s="1"/>
  <c r="T75" i="31087"/>
  <c r="S75" i="31087"/>
  <c r="M11" i="31087"/>
  <c r="R75" i="31087" s="1"/>
  <c r="T43" i="31087"/>
  <c r="H11" i="31087"/>
  <c r="R43" i="31087" s="1"/>
  <c r="E11" i="31087"/>
  <c r="T9" i="31087"/>
  <c r="D11" i="31087"/>
  <c r="S9" i="31087" s="1"/>
  <c r="T74" i="31087"/>
  <c r="S74" i="31087"/>
  <c r="M10" i="31087"/>
  <c r="R74" i="31087" s="1"/>
  <c r="T42" i="31087"/>
  <c r="H10" i="31087"/>
  <c r="R42" i="31087" s="1"/>
  <c r="E10" i="31087"/>
  <c r="T8" i="31087" s="1"/>
  <c r="D10" i="31087"/>
  <c r="S8" i="31087" s="1"/>
  <c r="T73" i="31087"/>
  <c r="S73" i="31087"/>
  <c r="M9" i="31087"/>
  <c r="R73" i="31087" s="1"/>
  <c r="T41" i="31087"/>
  <c r="S41" i="31087"/>
  <c r="E9" i="31087"/>
  <c r="T7" i="31087" s="1"/>
  <c r="D9" i="31087"/>
  <c r="S7" i="31087" s="1"/>
  <c r="T72" i="31087"/>
  <c r="S72" i="31087"/>
  <c r="M8" i="31087"/>
  <c r="R72" i="31087" s="1"/>
  <c r="T40" i="31087"/>
  <c r="H8" i="31087"/>
  <c r="R40" i="31087" s="1"/>
  <c r="E8" i="31087"/>
  <c r="T6" i="31087" s="1"/>
  <c r="D8" i="31087"/>
  <c r="S6" i="31087" s="1"/>
  <c r="T71" i="31087"/>
  <c r="S71" i="31087"/>
  <c r="M7" i="31087"/>
  <c r="R71" i="31087" s="1"/>
  <c r="T39" i="31087"/>
  <c r="H7" i="31087"/>
  <c r="R39" i="31087" s="1"/>
  <c r="E7" i="31087"/>
  <c r="T5" i="31087" s="1"/>
  <c r="D7" i="31087"/>
  <c r="S5" i="31087" s="1"/>
  <c r="W88" i="31086"/>
  <c r="Z58" i="31086"/>
  <c r="Y56" i="31086"/>
  <c r="X89" i="31086"/>
  <c r="Y58" i="31086"/>
  <c r="G26" i="31086"/>
  <c r="Z24" i="31086" s="1"/>
  <c r="F26" i="31086"/>
  <c r="Y24" i="31086" s="1"/>
  <c r="X88" i="31086"/>
  <c r="G25" i="31086"/>
  <c r="Y57" i="31086"/>
  <c r="X57" i="31086"/>
  <c r="W57" i="31086"/>
  <c r="H25" i="31086"/>
  <c r="V57" i="31086" s="1"/>
  <c r="D25" i="31086"/>
  <c r="X87" i="31086"/>
  <c r="M24" i="31086"/>
  <c r="V87" i="31086" s="1"/>
  <c r="E24" i="31086"/>
  <c r="X22" i="31086" s="1"/>
  <c r="H24" i="31086"/>
  <c r="V56" i="31086"/>
  <c r="G24" i="31086"/>
  <c r="F24" i="31086"/>
  <c r="Y22" i="31086" s="1"/>
  <c r="X86" i="31086"/>
  <c r="W86" i="31086"/>
  <c r="X55" i="31086"/>
  <c r="W55" i="31086"/>
  <c r="G23" i="31086"/>
  <c r="E23" i="31086"/>
  <c r="D23" i="31086"/>
  <c r="W21" i="31086" s="1"/>
  <c r="X85" i="31086"/>
  <c r="W85" i="31086"/>
  <c r="X54" i="31086"/>
  <c r="W54" i="31086"/>
  <c r="G22" i="31086"/>
  <c r="E22" i="31086"/>
  <c r="X20" i="31086" s="1"/>
  <c r="D22" i="31086"/>
  <c r="X84" i="31086"/>
  <c r="W84" i="31086"/>
  <c r="X53" i="31086"/>
  <c r="W53" i="31086"/>
  <c r="G21" i="31086"/>
  <c r="E21" i="31086"/>
  <c r="X19" i="31086" s="1"/>
  <c r="D21" i="31086"/>
  <c r="X83" i="31086"/>
  <c r="M20" i="31086"/>
  <c r="V83" i="31086" s="1"/>
  <c r="X52" i="31086"/>
  <c r="H20" i="31086"/>
  <c r="V52" i="31086" s="1"/>
  <c r="G20" i="31086"/>
  <c r="E20" i="31086"/>
  <c r="X18" i="31086"/>
  <c r="D20" i="31086"/>
  <c r="C20" i="31086" s="1"/>
  <c r="V18" i="31086" s="1"/>
  <c r="X82" i="31086"/>
  <c r="W82" i="31086"/>
  <c r="X51" i="31086"/>
  <c r="W51" i="31086"/>
  <c r="G19" i="31086"/>
  <c r="E19" i="31086"/>
  <c r="X17" i="31086" s="1"/>
  <c r="D19" i="31086"/>
  <c r="X81" i="31086"/>
  <c r="W81" i="31086"/>
  <c r="M18" i="31086"/>
  <c r="X50" i="31086"/>
  <c r="W50" i="31086"/>
  <c r="H18" i="31086"/>
  <c r="V50" i="31086" s="1"/>
  <c r="G18" i="31086"/>
  <c r="E18" i="31086"/>
  <c r="X16" i="31086"/>
  <c r="D18" i="31086"/>
  <c r="W16" i="31086" s="1"/>
  <c r="X80" i="31086"/>
  <c r="W80" i="31086"/>
  <c r="X49" i="31086"/>
  <c r="W49" i="31086"/>
  <c r="G17" i="31086"/>
  <c r="E17" i="31086"/>
  <c r="X15" i="31086"/>
  <c r="D17" i="31086"/>
  <c r="X79" i="31086"/>
  <c r="W79" i="31086"/>
  <c r="M16" i="31086"/>
  <c r="V79" i="31086" s="1"/>
  <c r="X48" i="31086"/>
  <c r="H16" i="31086"/>
  <c r="V48" i="31086"/>
  <c r="G16" i="31086"/>
  <c r="E16" i="31086"/>
  <c r="X14" i="31086" s="1"/>
  <c r="D16" i="31086"/>
  <c r="W14" i="31086" s="1"/>
  <c r="X78" i="31086"/>
  <c r="W78" i="31086"/>
  <c r="X47" i="31086"/>
  <c r="W47" i="31086"/>
  <c r="G15" i="31086"/>
  <c r="E15" i="31086"/>
  <c r="X13" i="31086" s="1"/>
  <c r="D15" i="31086"/>
  <c r="X77" i="31086"/>
  <c r="W77" i="31086"/>
  <c r="M14" i="31086"/>
  <c r="V77" i="31086" s="1"/>
  <c r="X46" i="31086"/>
  <c r="W46" i="31086"/>
  <c r="H14" i="31086"/>
  <c r="V46" i="31086" s="1"/>
  <c r="G14" i="31086"/>
  <c r="E14" i="31086"/>
  <c r="X12" i="31086" s="1"/>
  <c r="D14" i="31086"/>
  <c r="W12" i="31086" s="1"/>
  <c r="X76" i="31086"/>
  <c r="W76" i="31086"/>
  <c r="E13" i="31086"/>
  <c r="X11" i="31086"/>
  <c r="W45" i="31086"/>
  <c r="D13" i="31086"/>
  <c r="X75" i="31086"/>
  <c r="W75" i="31086"/>
  <c r="M12" i="31086"/>
  <c r="V75" i="31086" s="1"/>
  <c r="H12" i="31086"/>
  <c r="V44" i="31086" s="1"/>
  <c r="X44" i="31086"/>
  <c r="W44" i="31086"/>
  <c r="G12" i="31086"/>
  <c r="E12" i="31086"/>
  <c r="D12" i="31086"/>
  <c r="X74" i="31086"/>
  <c r="W74" i="31086"/>
  <c r="X43" i="31086"/>
  <c r="D11" i="31086"/>
  <c r="W9" i="31086" s="1"/>
  <c r="X73" i="31086"/>
  <c r="W73" i="31086"/>
  <c r="X42" i="31086"/>
  <c r="W42" i="31086"/>
  <c r="D10" i="31086"/>
  <c r="W8" i="31086" s="1"/>
  <c r="X72" i="31086"/>
  <c r="W72" i="31086"/>
  <c r="M9" i="31086"/>
  <c r="V72" i="31086" s="1"/>
  <c r="H9" i="31086"/>
  <c r="V41" i="31086" s="1"/>
  <c r="X41" i="31086"/>
  <c r="W41" i="31086"/>
  <c r="E9" i="31086"/>
  <c r="D9" i="31086"/>
  <c r="W7" i="31086" s="1"/>
  <c r="X71" i="31086"/>
  <c r="W71" i="31086"/>
  <c r="M8" i="31086"/>
  <c r="V71" i="31086" s="1"/>
  <c r="X40" i="31086"/>
  <c r="W40" i="31086"/>
  <c r="H8" i="31086"/>
  <c r="V40" i="31086" s="1"/>
  <c r="E8" i="31086"/>
  <c r="X6" i="31086" s="1"/>
  <c r="X70" i="31086"/>
  <c r="W70" i="31086"/>
  <c r="X39" i="31086"/>
  <c r="W39" i="31086"/>
  <c r="H7" i="31086"/>
  <c r="V39" i="31086" s="1"/>
  <c r="I25" i="1049"/>
  <c r="N25" i="1049"/>
  <c r="Y57" i="1049"/>
  <c r="Y58" i="1049"/>
  <c r="Y56" i="1049"/>
  <c r="D25" i="31077"/>
  <c r="O25" i="31077"/>
  <c r="D24" i="31077"/>
  <c r="O24" i="31077" s="1"/>
  <c r="D23" i="31063"/>
  <c r="O56" i="31063" s="1"/>
  <c r="E23" i="31063"/>
  <c r="P56" i="31063" s="1"/>
  <c r="D24" i="31063"/>
  <c r="O57" i="31063" s="1"/>
  <c r="E24" i="31063"/>
  <c r="P57" i="31063" s="1"/>
  <c r="C24" i="31067"/>
  <c r="C25" i="31067"/>
  <c r="D24" i="31067"/>
  <c r="D25" i="31067"/>
  <c r="K25" i="31060"/>
  <c r="D25" i="31060" s="1"/>
  <c r="E26" i="31063"/>
  <c r="P59" i="31063" s="1"/>
  <c r="D26" i="31063"/>
  <c r="C26" i="31063" s="1"/>
  <c r="F19" i="31063"/>
  <c r="O80" i="31063" s="1"/>
  <c r="F20" i="31063"/>
  <c r="O81" i="31063" s="1"/>
  <c r="F21" i="31063"/>
  <c r="O82" i="31063" s="1"/>
  <c r="F22" i="31063"/>
  <c r="O83" i="31063" s="1"/>
  <c r="F23" i="31063"/>
  <c r="O84" i="31063" s="1"/>
  <c r="F24" i="31063"/>
  <c r="O85" i="31063" s="1"/>
  <c r="I20" i="31063"/>
  <c r="P81" i="31063" s="1"/>
  <c r="I21" i="31063"/>
  <c r="P82" i="31063" s="1"/>
  <c r="I22" i="31063"/>
  <c r="P83" i="31063" s="1"/>
  <c r="I23" i="31063"/>
  <c r="I24" i="31063"/>
  <c r="P85" i="31063"/>
  <c r="I26" i="31063"/>
  <c r="P87" i="31063" s="1"/>
  <c r="I25" i="31076"/>
  <c r="P61" i="31076"/>
  <c r="F25" i="31076"/>
  <c r="O61" i="31076" s="1"/>
  <c r="E25" i="31076"/>
  <c r="D25" i="31076"/>
  <c r="O26" i="31076" s="1"/>
  <c r="E24" i="31076"/>
  <c r="D24" i="31076"/>
  <c r="O25" i="31076" s="1"/>
  <c r="I24" i="31076"/>
  <c r="P60" i="31076" s="1"/>
  <c r="F24" i="31076"/>
  <c r="O60" i="31076"/>
  <c r="I37" i="2"/>
  <c r="H37" i="2"/>
  <c r="D37" i="2"/>
  <c r="C37" i="2"/>
  <c r="G37" i="2"/>
  <c r="Z58" i="1049"/>
  <c r="AA58" i="1049"/>
  <c r="AB58" i="1049"/>
  <c r="T58" i="1049"/>
  <c r="U58" i="1049"/>
  <c r="N24" i="1049"/>
  <c r="I24" i="1049"/>
  <c r="D24" i="1049" s="1"/>
  <c r="K24" i="31060"/>
  <c r="J24" i="31060"/>
  <c r="Z57" i="1049"/>
  <c r="AA57" i="1049"/>
  <c r="AB57" i="1049"/>
  <c r="T57" i="1049"/>
  <c r="U57" i="1049"/>
  <c r="D23" i="31076"/>
  <c r="O24" i="31076" s="1"/>
  <c r="E23" i="31076"/>
  <c r="P24" i="31076" s="1"/>
  <c r="E70" i="31079"/>
  <c r="C8" i="31079"/>
  <c r="C7" i="31079"/>
  <c r="I22" i="31077"/>
  <c r="P56" i="31077" s="1"/>
  <c r="D22" i="31077"/>
  <c r="O22" i="31077"/>
  <c r="I21" i="31077"/>
  <c r="P55" i="31077"/>
  <c r="D21" i="31077"/>
  <c r="O21" i="31077" s="1"/>
  <c r="D20" i="31077"/>
  <c r="I19" i="31077"/>
  <c r="P53" i="31077"/>
  <c r="D19" i="31077"/>
  <c r="O19" i="31077" s="1"/>
  <c r="I18" i="31077"/>
  <c r="D18" i="31077"/>
  <c r="O18" i="31077"/>
  <c r="I17" i="31077"/>
  <c r="P51" i="31077" s="1"/>
  <c r="D17" i="31077"/>
  <c r="O17" i="31077" s="1"/>
  <c r="I16" i="31077"/>
  <c r="P50" i="31077" s="1"/>
  <c r="D16" i="31077"/>
  <c r="O16" i="31077" s="1"/>
  <c r="I15" i="31077"/>
  <c r="P49" i="31077" s="1"/>
  <c r="D15" i="31077"/>
  <c r="O15" i="31077" s="1"/>
  <c r="I14" i="31077"/>
  <c r="P48" i="31077" s="1"/>
  <c r="D14" i="31077"/>
  <c r="O14" i="31077" s="1"/>
  <c r="I13" i="31077"/>
  <c r="P47" i="31077" s="1"/>
  <c r="D13" i="31077"/>
  <c r="O13" i="31077" s="1"/>
  <c r="I11" i="31077"/>
  <c r="P45" i="31077" s="1"/>
  <c r="D11" i="31077"/>
  <c r="O11" i="31077" s="1"/>
  <c r="I10" i="31077"/>
  <c r="P44" i="31077" s="1"/>
  <c r="D10" i="31077"/>
  <c r="O10" i="31077" s="1"/>
  <c r="I9" i="31077"/>
  <c r="P43" i="31077" s="1"/>
  <c r="D9" i="31077"/>
  <c r="O9" i="31077"/>
  <c r="I8" i="31077"/>
  <c r="P42" i="31077" s="1"/>
  <c r="D8" i="31077"/>
  <c r="O8" i="31077" s="1"/>
  <c r="I7" i="31077"/>
  <c r="P41" i="31077" s="1"/>
  <c r="D7" i="31077"/>
  <c r="O7" i="31077" s="1"/>
  <c r="C7" i="31063"/>
  <c r="F7" i="31063"/>
  <c r="O68" i="31063" s="1"/>
  <c r="I7" i="31063"/>
  <c r="P68" i="31063" s="1"/>
  <c r="C8" i="31063"/>
  <c r="F8" i="31063"/>
  <c r="O69" i="31063"/>
  <c r="I8" i="31063"/>
  <c r="P69" i="31063" s="1"/>
  <c r="C9" i="31063"/>
  <c r="F9" i="31063"/>
  <c r="O70" i="31063" s="1"/>
  <c r="I9" i="31063"/>
  <c r="P70" i="31063"/>
  <c r="C10" i="31063"/>
  <c r="F10" i="31063"/>
  <c r="O71" i="31063" s="1"/>
  <c r="I10" i="31063"/>
  <c r="P71" i="31063" s="1"/>
  <c r="C11" i="31063"/>
  <c r="F11" i="31063"/>
  <c r="O72" i="31063" s="1"/>
  <c r="I11" i="31063"/>
  <c r="P72" i="31063"/>
  <c r="C12" i="31063"/>
  <c r="F12" i="31063"/>
  <c r="O73" i="31063" s="1"/>
  <c r="I12" i="31063"/>
  <c r="P73" i="31063" s="1"/>
  <c r="C13" i="31063"/>
  <c r="F13" i="31063"/>
  <c r="O74" i="31063" s="1"/>
  <c r="I13" i="31063"/>
  <c r="P74" i="31063" s="1"/>
  <c r="C14" i="31063"/>
  <c r="F14" i="31063"/>
  <c r="O75" i="31063" s="1"/>
  <c r="I14" i="31063"/>
  <c r="P75" i="31063" s="1"/>
  <c r="C15" i="31063"/>
  <c r="F15" i="31063"/>
  <c r="O76" i="31063" s="1"/>
  <c r="I15" i="31063"/>
  <c r="P76" i="31063"/>
  <c r="C16" i="31063"/>
  <c r="F16" i="31063"/>
  <c r="O77" i="31063"/>
  <c r="I16" i="31063"/>
  <c r="P77" i="31063" s="1"/>
  <c r="C17" i="31063"/>
  <c r="F17" i="31063"/>
  <c r="O78" i="31063" s="1"/>
  <c r="I17" i="31063"/>
  <c r="P78" i="31063" s="1"/>
  <c r="C18" i="31063"/>
  <c r="F18" i="31063"/>
  <c r="O79" i="31063" s="1"/>
  <c r="I18" i="31063"/>
  <c r="P79" i="31063" s="1"/>
  <c r="C19" i="31063"/>
  <c r="I19" i="31063"/>
  <c r="C20" i="31063"/>
  <c r="C21" i="31063"/>
  <c r="C22" i="31063"/>
  <c r="I23" i="31076"/>
  <c r="P59" i="31076" s="1"/>
  <c r="F23" i="31076"/>
  <c r="O59" i="31076"/>
  <c r="I22" i="31076"/>
  <c r="P58" i="31076"/>
  <c r="E22" i="31076"/>
  <c r="P23" i="31076" s="1"/>
  <c r="I21" i="31076"/>
  <c r="P57" i="31076" s="1"/>
  <c r="E21" i="31076"/>
  <c r="D21" i="31076"/>
  <c r="C21" i="31076" s="1"/>
  <c r="I20" i="31076"/>
  <c r="P56" i="31076"/>
  <c r="F20" i="31076"/>
  <c r="O56" i="31076" s="1"/>
  <c r="E20" i="31076"/>
  <c r="P21" i="31076" s="1"/>
  <c r="D20" i="31076"/>
  <c r="O21" i="31076" s="1"/>
  <c r="I19" i="31076"/>
  <c r="F19" i="31076"/>
  <c r="O55" i="31076" s="1"/>
  <c r="E19" i="31076"/>
  <c r="I18" i="31076"/>
  <c r="P54" i="31076" s="1"/>
  <c r="E18" i="31076"/>
  <c r="P19" i="31076" s="1"/>
  <c r="I17" i="31076"/>
  <c r="P53" i="31076" s="1"/>
  <c r="E17" i="31076"/>
  <c r="P18" i="31076" s="1"/>
  <c r="F17" i="31076"/>
  <c r="D17" i="31076"/>
  <c r="O18" i="31076"/>
  <c r="I16" i="31076"/>
  <c r="P52" i="31076"/>
  <c r="E16" i="31076"/>
  <c r="P17" i="31076" s="1"/>
  <c r="F16" i="31076"/>
  <c r="O52" i="31076"/>
  <c r="D16" i="31076"/>
  <c r="O17" i="31076"/>
  <c r="I15" i="31076"/>
  <c r="P51" i="31076" s="1"/>
  <c r="E15" i="31076"/>
  <c r="P16" i="31076" s="1"/>
  <c r="F15" i="31076"/>
  <c r="O51" i="31076" s="1"/>
  <c r="I14" i="31076"/>
  <c r="P50" i="31076" s="1"/>
  <c r="E14" i="31076"/>
  <c r="P15" i="31076" s="1"/>
  <c r="F14" i="31076"/>
  <c r="O50" i="31076" s="1"/>
  <c r="D14" i="31076"/>
  <c r="C14" i="31076" s="1"/>
  <c r="O15" i="31076"/>
  <c r="I13" i="31076"/>
  <c r="P49" i="31076"/>
  <c r="E13" i="31076"/>
  <c r="P14" i="31076"/>
  <c r="F13" i="31076"/>
  <c r="O49" i="31076" s="1"/>
  <c r="D13" i="31076"/>
  <c r="O14" i="31076"/>
  <c r="I12" i="31076"/>
  <c r="P48" i="31076" s="1"/>
  <c r="F12" i="31076"/>
  <c r="O48" i="31076" s="1"/>
  <c r="I11" i="31076"/>
  <c r="P47" i="31076" s="1"/>
  <c r="E11" i="31076"/>
  <c r="P12" i="31076" s="1"/>
  <c r="F11" i="31076"/>
  <c r="O47" i="31076"/>
  <c r="D11" i="31076"/>
  <c r="O12" i="31076"/>
  <c r="I10" i="31076"/>
  <c r="P46" i="31076" s="1"/>
  <c r="D10" i="31076"/>
  <c r="O11" i="31076"/>
  <c r="I9" i="31076"/>
  <c r="P45" i="31076"/>
  <c r="E9" i="31076"/>
  <c r="P10" i="31076" s="1"/>
  <c r="I8" i="31076"/>
  <c r="P44" i="31076" s="1"/>
  <c r="F8" i="31076"/>
  <c r="O44" i="31076" s="1"/>
  <c r="E8" i="31076"/>
  <c r="P9" i="31076" s="1"/>
  <c r="I7" i="31076"/>
  <c r="P43" i="31076" s="1"/>
  <c r="F7" i="31076"/>
  <c r="O43" i="31076"/>
  <c r="D12" i="31076"/>
  <c r="O13" i="31076"/>
  <c r="F21" i="31076"/>
  <c r="O57" i="31076"/>
  <c r="D15" i="31076"/>
  <c r="D7" i="31076"/>
  <c r="C7" i="31076" s="1"/>
  <c r="O8" i="31076"/>
  <c r="F9" i="31076"/>
  <c r="O45" i="31076" s="1"/>
  <c r="E10" i="31076"/>
  <c r="P11" i="31076" s="1"/>
  <c r="E12" i="31076"/>
  <c r="P13" i="31076" s="1"/>
  <c r="E7" i="31076"/>
  <c r="P8" i="31076" s="1"/>
  <c r="D8" i="31076"/>
  <c r="O9" i="31076"/>
  <c r="D9" i="31076"/>
  <c r="C9" i="31076" s="1"/>
  <c r="F18" i="31076"/>
  <c r="O54" i="31076" s="1"/>
  <c r="F22" i="31076"/>
  <c r="F10" i="31076"/>
  <c r="O46" i="31076"/>
  <c r="D18" i="31076"/>
  <c r="O19" i="31076"/>
  <c r="D19" i="31076"/>
  <c r="D22" i="31076"/>
  <c r="Z55" i="1049"/>
  <c r="AA55" i="1049"/>
  <c r="AB55" i="1049"/>
  <c r="Z56" i="1049"/>
  <c r="AA56" i="1049"/>
  <c r="AB56" i="1049"/>
  <c r="T55" i="1049"/>
  <c r="U55" i="1049"/>
  <c r="T56" i="1049"/>
  <c r="U56" i="1049"/>
  <c r="W56" i="1049" s="1"/>
  <c r="N23" i="1049"/>
  <c r="N22" i="1049"/>
  <c r="D22" i="1049" s="1"/>
  <c r="I22" i="1049"/>
  <c r="I23" i="1049"/>
  <c r="C22" i="31067"/>
  <c r="D22" i="31067"/>
  <c r="C23" i="31067"/>
  <c r="D23" i="31067"/>
  <c r="K23" i="31060"/>
  <c r="D23" i="31060" s="1"/>
  <c r="J23" i="31060"/>
  <c r="K22" i="31060"/>
  <c r="H22" i="31060"/>
  <c r="K21" i="31060"/>
  <c r="H21" i="31060" s="1"/>
  <c r="D36" i="2"/>
  <c r="H36" i="2"/>
  <c r="I36" i="2"/>
  <c r="C36" i="2"/>
  <c r="D35" i="2"/>
  <c r="H35" i="2"/>
  <c r="I35" i="2"/>
  <c r="C35" i="2"/>
  <c r="D34" i="2"/>
  <c r="H34" i="2"/>
  <c r="I34" i="2"/>
  <c r="C34" i="2"/>
  <c r="D33" i="2"/>
  <c r="H33" i="2"/>
  <c r="I33" i="2"/>
  <c r="K33" i="2"/>
  <c r="L33" i="2"/>
  <c r="C33" i="2"/>
  <c r="D25" i="2"/>
  <c r="H25" i="2"/>
  <c r="I25" i="2"/>
  <c r="D24" i="2"/>
  <c r="H24" i="2"/>
  <c r="I24" i="2"/>
  <c r="D23" i="2"/>
  <c r="H23" i="2"/>
  <c r="I23" i="2"/>
  <c r="D22" i="2"/>
  <c r="H22" i="2"/>
  <c r="I22" i="2"/>
  <c r="D21" i="2"/>
  <c r="H21" i="2"/>
  <c r="I21" i="2"/>
  <c r="K21" i="2"/>
  <c r="L21" i="2"/>
  <c r="H20" i="2"/>
  <c r="C25" i="2"/>
  <c r="C24" i="2"/>
  <c r="C23" i="2"/>
  <c r="C22" i="2"/>
  <c r="C21" i="2"/>
  <c r="L25" i="2"/>
  <c r="I19" i="1049"/>
  <c r="N19" i="1049"/>
  <c r="I18" i="1049"/>
  <c r="N18" i="1049"/>
  <c r="I20" i="1049"/>
  <c r="N20" i="1049"/>
  <c r="I21" i="1049"/>
  <c r="D21" i="1049" s="1"/>
  <c r="N21" i="1049"/>
  <c r="N14" i="1049"/>
  <c r="N15" i="1049"/>
  <c r="N16" i="1049"/>
  <c r="N17" i="1049"/>
  <c r="I17" i="1049"/>
  <c r="D17" i="1049" s="1"/>
  <c r="G33" i="2"/>
  <c r="Z52" i="1049"/>
  <c r="AA52" i="1049"/>
  <c r="AB52" i="1049"/>
  <c r="Z53" i="1049"/>
  <c r="AA53" i="1049"/>
  <c r="AB53" i="1049"/>
  <c r="Z54" i="1049"/>
  <c r="AC54" i="1049" s="1"/>
  <c r="AA54" i="1049"/>
  <c r="AB54" i="1049"/>
  <c r="T52" i="1049"/>
  <c r="U52" i="1049"/>
  <c r="T53" i="1049"/>
  <c r="U53" i="1049"/>
  <c r="T54" i="1049"/>
  <c r="U54" i="1049"/>
  <c r="W54" i="1049" s="1"/>
  <c r="D21" i="31067"/>
  <c r="C21" i="31067"/>
  <c r="D20" i="31067"/>
  <c r="C20" i="31067"/>
  <c r="K20" i="31060"/>
  <c r="D20" i="31060" s="1"/>
  <c r="Z44" i="1049"/>
  <c r="AA44" i="1049"/>
  <c r="AB44" i="1049"/>
  <c r="Z45" i="1049"/>
  <c r="AA45" i="1049"/>
  <c r="AB45" i="1049"/>
  <c r="Z46" i="1049"/>
  <c r="AA46" i="1049"/>
  <c r="AB46" i="1049"/>
  <c r="AC46" i="1049" s="1"/>
  <c r="Z47" i="1049"/>
  <c r="AA47" i="1049"/>
  <c r="AB47" i="1049"/>
  <c r="Z48" i="1049"/>
  <c r="AA48" i="1049"/>
  <c r="AB48" i="1049"/>
  <c r="Z49" i="1049"/>
  <c r="AA49" i="1049"/>
  <c r="AC49" i="1049" s="1"/>
  <c r="AB49" i="1049"/>
  <c r="Z50" i="1049"/>
  <c r="AA50" i="1049"/>
  <c r="AB50" i="1049"/>
  <c r="Z51" i="1049"/>
  <c r="AA51" i="1049"/>
  <c r="AB51" i="1049"/>
  <c r="AB43" i="1049"/>
  <c r="AA43" i="1049"/>
  <c r="Z43" i="1049"/>
  <c r="T44" i="1049"/>
  <c r="U44" i="1049"/>
  <c r="V44" i="1049"/>
  <c r="T48" i="1049"/>
  <c r="U48" i="1049"/>
  <c r="V43" i="1049"/>
  <c r="U45" i="1049"/>
  <c r="U46" i="1049"/>
  <c r="U47" i="1049"/>
  <c r="U49" i="1049"/>
  <c r="U50" i="1049"/>
  <c r="U51" i="1049"/>
  <c r="U43" i="1049"/>
  <c r="T45" i="1049"/>
  <c r="T46" i="1049"/>
  <c r="T47" i="1049"/>
  <c r="T49" i="1049"/>
  <c r="T50" i="1049"/>
  <c r="T51" i="1049"/>
  <c r="T43" i="1049"/>
  <c r="K19" i="31060"/>
  <c r="H19" i="31060" s="1"/>
  <c r="D19" i="31060"/>
  <c r="K25" i="2"/>
  <c r="K24" i="2"/>
  <c r="L36" i="2"/>
  <c r="D7" i="31067"/>
  <c r="C7" i="31067"/>
  <c r="D19" i="31067"/>
  <c r="C19" i="31067"/>
  <c r="D18" i="31067"/>
  <c r="C18" i="31067"/>
  <c r="D17" i="31067"/>
  <c r="C17" i="31067"/>
  <c r="D16" i="31067"/>
  <c r="C16" i="31067"/>
  <c r="D15" i="31067"/>
  <c r="C15" i="31067"/>
  <c r="D14" i="31067"/>
  <c r="C14" i="31067"/>
  <c r="D13" i="31067"/>
  <c r="C13" i="31067"/>
  <c r="D12" i="31067"/>
  <c r="C12" i="31067"/>
  <c r="D11" i="31067"/>
  <c r="C11" i="31067"/>
  <c r="D10" i="31067"/>
  <c r="C10" i="31067"/>
  <c r="D9" i="31067"/>
  <c r="C9" i="31067"/>
  <c r="D8" i="31067"/>
  <c r="C8" i="31067"/>
  <c r="I15" i="1049"/>
  <c r="K18" i="31060"/>
  <c r="H18" i="31060" s="1"/>
  <c r="F18" i="31060"/>
  <c r="I16" i="1049"/>
  <c r="K17" i="31060"/>
  <c r="J17" i="31060" s="1"/>
  <c r="E8" i="31060"/>
  <c r="K8" i="31060"/>
  <c r="D8" i="31060" s="1"/>
  <c r="K16" i="31060"/>
  <c r="H16" i="31060" s="1"/>
  <c r="D16" i="31060"/>
  <c r="N7" i="1049"/>
  <c r="I7" i="1049"/>
  <c r="E7" i="31060"/>
  <c r="K7" i="31060" s="1"/>
  <c r="K15" i="31060"/>
  <c r="J15" i="31060"/>
  <c r="K35" i="2"/>
  <c r="L35" i="2"/>
  <c r="G35" i="2"/>
  <c r="K14" i="31060"/>
  <c r="H14" i="31060"/>
  <c r="K13" i="31060"/>
  <c r="J13" i="31060" s="1"/>
  <c r="K12" i="31060"/>
  <c r="F12" i="31060"/>
  <c r="K11" i="31060"/>
  <c r="J11" i="31060" s="1"/>
  <c r="K10" i="31060"/>
  <c r="D10" i="31060" s="1"/>
  <c r="H10" i="31060"/>
  <c r="G9" i="31060"/>
  <c r="I9" i="31060"/>
  <c r="I14" i="1049"/>
  <c r="D14" i="1049" s="1"/>
  <c r="I13" i="1049"/>
  <c r="D13" i="1049" s="1"/>
  <c r="N13" i="1049"/>
  <c r="I12" i="1049"/>
  <c r="N12" i="1049"/>
  <c r="I11" i="1049"/>
  <c r="N11" i="1049"/>
  <c r="I10" i="1049"/>
  <c r="N10" i="1049"/>
  <c r="I9" i="1049"/>
  <c r="D9" i="1049" s="1"/>
  <c r="O9" i="1049" s="1"/>
  <c r="N9" i="1049"/>
  <c r="I8" i="1049"/>
  <c r="N8" i="1049"/>
  <c r="O23" i="31076"/>
  <c r="O20" i="31076"/>
  <c r="C19" i="31076"/>
  <c r="L22" i="2"/>
  <c r="L23" i="2"/>
  <c r="L24" i="2"/>
  <c r="G25" i="2"/>
  <c r="K34" i="2"/>
  <c r="G34" i="2"/>
  <c r="K36" i="2"/>
  <c r="G36" i="2"/>
  <c r="G21" i="2"/>
  <c r="K23" i="2"/>
  <c r="G23" i="2"/>
  <c r="G24" i="2"/>
  <c r="D12" i="31077"/>
  <c r="O12" i="31077" s="1"/>
  <c r="D24" i="31060"/>
  <c r="H24" i="31060"/>
  <c r="G22" i="2"/>
  <c r="L34" i="2"/>
  <c r="K22" i="2"/>
  <c r="I12" i="31077"/>
  <c r="P46" i="31077" s="1"/>
  <c r="J22" i="2"/>
  <c r="J34" i="2"/>
  <c r="J35" i="2"/>
  <c r="J23" i="2"/>
  <c r="J36" i="2"/>
  <c r="J24" i="2"/>
  <c r="J25" i="2"/>
  <c r="C14" i="31086"/>
  <c r="V12" i="31086" s="1"/>
  <c r="W18" i="31086"/>
  <c r="W19" i="31086"/>
  <c r="W20" i="31086"/>
  <c r="D7" i="31086"/>
  <c r="W5" i="31086" s="1"/>
  <c r="D8" i="31086"/>
  <c r="W6" i="31086" s="1"/>
  <c r="H10" i="31086"/>
  <c r="V42" i="31086" s="1"/>
  <c r="M10" i="31086"/>
  <c r="V73" i="31086" s="1"/>
  <c r="E11" i="31086"/>
  <c r="C11" i="31086" s="1"/>
  <c r="V9" i="31086" s="1"/>
  <c r="H13" i="31086"/>
  <c r="V45" i="31086"/>
  <c r="M13" i="31086"/>
  <c r="V76" i="31086" s="1"/>
  <c r="H15" i="31086"/>
  <c r="V47" i="31086"/>
  <c r="M15" i="31086"/>
  <c r="V78" i="31086" s="1"/>
  <c r="H17" i="31086"/>
  <c r="V49" i="31086"/>
  <c r="M17" i="31086"/>
  <c r="V80" i="31086" s="1"/>
  <c r="H19" i="31086"/>
  <c r="V51" i="31086" s="1"/>
  <c r="M19" i="31086"/>
  <c r="H21" i="31086"/>
  <c r="V53" i="31086"/>
  <c r="M21" i="31086"/>
  <c r="V84" i="31086"/>
  <c r="E25" i="31086"/>
  <c r="X23" i="31086" s="1"/>
  <c r="M25" i="31086"/>
  <c r="V88" i="31086" s="1"/>
  <c r="D26" i="31086"/>
  <c r="H26" i="31086"/>
  <c r="V58" i="31086" s="1"/>
  <c r="X45" i="31086"/>
  <c r="W48" i="31086"/>
  <c r="W52" i="31086"/>
  <c r="W56" i="31086"/>
  <c r="W58" i="31086"/>
  <c r="W83" i="31086"/>
  <c r="W87" i="31086"/>
  <c r="E7" i="31086"/>
  <c r="X5" i="31086" s="1"/>
  <c r="M7" i="31086"/>
  <c r="V70" i="31086" s="1"/>
  <c r="H11" i="31086"/>
  <c r="V43" i="31086"/>
  <c r="M11" i="31086"/>
  <c r="V74" i="31086" s="1"/>
  <c r="H23" i="31086"/>
  <c r="V55" i="31086"/>
  <c r="M23" i="31086"/>
  <c r="V86" i="31086" s="1"/>
  <c r="W23" i="31086"/>
  <c r="D24" i="31086"/>
  <c r="W22" i="31086" s="1"/>
  <c r="F25" i="31086"/>
  <c r="Y23" i="31086" s="1"/>
  <c r="E26" i="31086"/>
  <c r="M26" i="31086"/>
  <c r="V89" i="31086" s="1"/>
  <c r="W43" i="31086"/>
  <c r="X56" i="31086"/>
  <c r="X58" i="31086"/>
  <c r="H22" i="31086"/>
  <c r="V54" i="31086"/>
  <c r="M22" i="31086"/>
  <c r="V85" i="31086" s="1"/>
  <c r="W89" i="31086"/>
  <c r="E10" i="31086"/>
  <c r="X8" i="31086"/>
  <c r="C8" i="31086"/>
  <c r="V6" i="31086" s="1"/>
  <c r="C14" i="31087"/>
  <c r="R12" i="31087" s="1"/>
  <c r="C18" i="31087"/>
  <c r="R16" i="31087" s="1"/>
  <c r="C20" i="31087"/>
  <c r="R18" i="31087" s="1"/>
  <c r="X10" i="31086"/>
  <c r="C21" i="31088"/>
  <c r="C7" i="31088"/>
  <c r="H8" i="31088"/>
  <c r="M8" i="31088"/>
  <c r="H12" i="31088"/>
  <c r="M12" i="31088"/>
  <c r="H16" i="31088"/>
  <c r="M16" i="31088"/>
  <c r="H20" i="31088"/>
  <c r="M20" i="31088"/>
  <c r="E24" i="31088"/>
  <c r="T25" i="31088" s="1"/>
  <c r="M24" i="31088"/>
  <c r="F25" i="31088"/>
  <c r="S16" i="31088"/>
  <c r="S18" i="31088"/>
  <c r="S20" i="31088"/>
  <c r="S51" i="31088"/>
  <c r="S53" i="31088"/>
  <c r="S55" i="31088"/>
  <c r="S57" i="31088"/>
  <c r="S59" i="31088"/>
  <c r="S61" i="31088"/>
  <c r="S63" i="31088"/>
  <c r="S67" i="31088"/>
  <c r="U68" i="31088"/>
  <c r="S70" i="31088"/>
  <c r="S80" i="31088"/>
  <c r="S82" i="31088"/>
  <c r="S84" i="31088"/>
  <c r="S88" i="31088"/>
  <c r="S92" i="31088"/>
  <c r="S96" i="31088"/>
  <c r="S98" i="31088"/>
  <c r="H7" i="31088"/>
  <c r="F24" i="31088"/>
  <c r="U25" i="31088" s="1"/>
  <c r="D26" i="31088"/>
  <c r="S27" i="31088" s="1"/>
  <c r="H26" i="31088"/>
  <c r="T22" i="31088"/>
  <c r="T27" i="31088"/>
  <c r="T70" i="31088"/>
  <c r="T86" i="31088"/>
  <c r="S10" i="31088"/>
  <c r="S14" i="31087"/>
  <c r="S16" i="31087"/>
  <c r="S18" i="31087"/>
  <c r="T20" i="31087"/>
  <c r="C9" i="31087"/>
  <c r="R7" i="31087" s="1"/>
  <c r="C12" i="31087"/>
  <c r="R10" i="31087" s="1"/>
  <c r="S12" i="31087"/>
  <c r="C15" i="31087"/>
  <c r="R13" i="31087" s="1"/>
  <c r="C17" i="31087"/>
  <c r="R15" i="31087" s="1"/>
  <c r="C19" i="31087"/>
  <c r="R17" i="31087" s="1"/>
  <c r="C13" i="31087"/>
  <c r="R11" i="31087" s="1"/>
  <c r="C7" i="31087"/>
  <c r="R5" i="31087" s="1"/>
  <c r="H12" i="31087"/>
  <c r="R44" i="31087" s="1"/>
  <c r="H13" i="31087"/>
  <c r="R45" i="31087" s="1"/>
  <c r="M13" i="31087"/>
  <c r="R77" i="31087" s="1"/>
  <c r="H15" i="31087"/>
  <c r="R47" i="31087" s="1"/>
  <c r="M15" i="31087"/>
  <c r="R79" i="31087" s="1"/>
  <c r="H17" i="31087"/>
  <c r="R49" i="31087" s="1"/>
  <c r="M17" i="31087"/>
  <c r="R81" i="31087" s="1"/>
  <c r="H19" i="31087"/>
  <c r="R51" i="31087" s="1"/>
  <c r="M19" i="31087"/>
  <c r="R83" i="31087" s="1"/>
  <c r="C21" i="31087"/>
  <c r="R19" i="31087" s="1"/>
  <c r="H21" i="31087"/>
  <c r="M21" i="31087"/>
  <c r="R85" i="31087" s="1"/>
  <c r="S21" i="31087"/>
  <c r="E25" i="31087"/>
  <c r="M25" i="31087"/>
  <c r="R89" i="31087" s="1"/>
  <c r="D26" i="31087"/>
  <c r="H26" i="31087"/>
  <c r="S40" i="31087"/>
  <c r="T45" i="31087"/>
  <c r="S48" i="31087"/>
  <c r="S56" i="31087"/>
  <c r="S58" i="31087"/>
  <c r="S76" i="31087"/>
  <c r="H23" i="31087"/>
  <c r="R55" i="31087" s="1"/>
  <c r="M23" i="31087"/>
  <c r="R87" i="31087" s="1"/>
  <c r="D24" i="31087"/>
  <c r="S22" i="31087" s="1"/>
  <c r="F25" i="31087"/>
  <c r="U23" i="31087" s="1"/>
  <c r="E26" i="31087"/>
  <c r="E34" i="31087" s="1"/>
  <c r="M26" i="31087"/>
  <c r="S39" i="31087"/>
  <c r="S43" i="31087"/>
  <c r="T58" i="31087"/>
  <c r="T80" i="31087"/>
  <c r="S42" i="31087"/>
  <c r="U57" i="31087"/>
  <c r="S90" i="31087"/>
  <c r="H9" i="31087"/>
  <c r="R41" i="31087" s="1"/>
  <c r="L37" i="2"/>
  <c r="K37" i="2"/>
  <c r="J21" i="2"/>
  <c r="I20" i="31077"/>
  <c r="P54" i="31077" s="1"/>
  <c r="C25" i="31076"/>
  <c r="O62" i="31076"/>
  <c r="D14" i="31090"/>
  <c r="C14" i="31090" s="1"/>
  <c r="D16" i="31090"/>
  <c r="C16" i="31090" s="1"/>
  <c r="D18" i="31090"/>
  <c r="C18" i="31090" s="1"/>
  <c r="D20" i="31090"/>
  <c r="C20" i="31090" s="1"/>
  <c r="D22" i="31090"/>
  <c r="C22" i="31090" s="1"/>
  <c r="D24" i="31090"/>
  <c r="C24" i="31090"/>
  <c r="D28" i="31090"/>
  <c r="C28" i="31090" s="1"/>
  <c r="D11" i="31090"/>
  <c r="C11" i="31090" s="1"/>
  <c r="D17" i="31090"/>
  <c r="C17" i="31090" s="1"/>
  <c r="H27" i="31060"/>
  <c r="F17" i="31060"/>
  <c r="D21" i="31060"/>
  <c r="H25" i="31060"/>
  <c r="D22" i="31060"/>
  <c r="J25" i="31060"/>
  <c r="C27" i="31063"/>
  <c r="W24" i="31086"/>
  <c r="J12" i="31060"/>
  <c r="C20" i="31076"/>
  <c r="C12" i="31076"/>
  <c r="D27" i="1049"/>
  <c r="J33" i="2"/>
  <c r="C17" i="31076"/>
  <c r="C11" i="31076"/>
  <c r="O58" i="31076"/>
  <c r="O16" i="31076"/>
  <c r="F25" i="31060"/>
  <c r="D9" i="31090"/>
  <c r="C13" i="31076"/>
  <c r="O53" i="31076"/>
  <c r="W25" i="31086"/>
  <c r="V59" i="31086"/>
  <c r="W59" i="1049"/>
  <c r="K26" i="31060"/>
  <c r="D26" i="31060" s="1"/>
  <c r="S28" i="31088"/>
  <c r="D23" i="31090"/>
  <c r="C23" i="31090" s="1"/>
  <c r="O28" i="31089"/>
  <c r="C25" i="31063"/>
  <c r="AC59" i="1049"/>
  <c r="S25" i="31087"/>
  <c r="C27" i="31087"/>
  <c r="R25" i="31087"/>
  <c r="R59" i="31087"/>
  <c r="D27" i="31090"/>
  <c r="C27" i="31090" s="1"/>
  <c r="D19" i="31090"/>
  <c r="F26" i="31063"/>
  <c r="O87" i="31063" s="1"/>
  <c r="D27" i="31060"/>
  <c r="S48" i="31092"/>
  <c r="V90" i="31086"/>
  <c r="Z6" i="31093"/>
  <c r="H6" i="31093"/>
  <c r="AL41" i="31093"/>
  <c r="BB41" i="31093"/>
  <c r="AZ58" i="31093"/>
  <c r="S61" i="31090"/>
  <c r="S62" i="31090"/>
  <c r="C19" i="31090"/>
  <c r="C9" i="31090"/>
  <c r="D26" i="2"/>
  <c r="I32" i="2"/>
  <c r="C20" i="2"/>
  <c r="O34" i="2"/>
  <c r="J37" i="2"/>
  <c r="O35" i="2"/>
  <c r="C10" i="31087"/>
  <c r="R8" i="31087" s="1"/>
  <c r="C8" i="31087"/>
  <c r="R6" i="31087" s="1"/>
  <c r="C11" i="31087"/>
  <c r="R9" i="31087" s="1"/>
  <c r="O30" i="31089"/>
  <c r="D28" i="1049"/>
  <c r="J28" i="31060"/>
  <c r="P89" i="31063"/>
  <c r="O89" i="31063"/>
  <c r="P64" i="31076"/>
  <c r="U29" i="31088"/>
  <c r="S29" i="31088"/>
  <c r="V29" i="31088"/>
  <c r="R92" i="31087"/>
  <c r="T26" i="31087"/>
  <c r="S26" i="31087"/>
  <c r="R60" i="31087"/>
  <c r="V60" i="31086"/>
  <c r="E29" i="31090"/>
  <c r="BG59" i="31093"/>
  <c r="K32" i="2"/>
  <c r="G20" i="2"/>
  <c r="I20" i="2"/>
  <c r="C26" i="2"/>
  <c r="D32" i="2"/>
  <c r="D20" i="2"/>
  <c r="J32" i="2"/>
  <c r="BG42" i="31093"/>
  <c r="BG41" i="31093" s="1"/>
  <c r="AB14" i="31093"/>
  <c r="J26" i="2"/>
  <c r="G32" i="2"/>
  <c r="J20" i="2"/>
  <c r="G26" i="2"/>
  <c r="L32" i="2"/>
  <c r="L20" i="2"/>
  <c r="L26" i="2"/>
  <c r="G29" i="31090"/>
  <c r="U119" i="31090" s="1"/>
  <c r="V119" i="31090"/>
  <c r="L29" i="31090"/>
  <c r="U30" i="31090" s="1"/>
  <c r="O16" i="31089"/>
  <c r="C22" i="31087"/>
  <c r="R20" i="31087" s="1"/>
  <c r="R50" i="31087"/>
  <c r="P52" i="31077"/>
  <c r="O36" i="2"/>
  <c r="O24" i="2"/>
  <c r="O25" i="2"/>
  <c r="O37" i="2"/>
  <c r="O33" i="2"/>
  <c r="O21" i="2"/>
  <c r="K20" i="2"/>
  <c r="O22" i="2"/>
  <c r="T23" i="31087"/>
  <c r="P84" i="31063"/>
  <c r="W15" i="31086"/>
  <c r="V81" i="31086"/>
  <c r="P22" i="31076"/>
  <c r="X7" i="31086"/>
  <c r="T21" i="31087"/>
  <c r="O23" i="2"/>
  <c r="K29" i="31065"/>
  <c r="G26" i="31065"/>
  <c r="S74" i="31090"/>
  <c r="S76" i="31090"/>
  <c r="S78" i="31090"/>
  <c r="S53" i="31090"/>
  <c r="S56" i="31090"/>
  <c r="S60" i="31090"/>
  <c r="S88" i="31090"/>
  <c r="D13" i="31090"/>
  <c r="C13" i="31090" s="1"/>
  <c r="D15" i="31090"/>
  <c r="C15" i="31090" s="1"/>
  <c r="H29" i="31090"/>
  <c r="T30" i="31090" s="1"/>
  <c r="AB13" i="31093"/>
  <c r="V91" i="31086"/>
  <c r="W11" i="31086"/>
  <c r="W27" i="31086"/>
  <c r="V92" i="31086"/>
  <c r="V61" i="31086"/>
  <c r="X27" i="31086"/>
  <c r="W48" i="31092"/>
  <c r="BG29" i="31093"/>
  <c r="J48" i="31092"/>
  <c r="T10" i="31090"/>
  <c r="T23" i="31090"/>
  <c r="S59" i="31090"/>
  <c r="T9" i="31090"/>
  <c r="T24" i="31090"/>
  <c r="U26" i="31090"/>
  <c r="S119" i="31090"/>
  <c r="U10" i="31090"/>
  <c r="T12" i="31090"/>
  <c r="S12" i="31090" s="1"/>
  <c r="U18" i="31090"/>
  <c r="U25" i="31090"/>
  <c r="AC52" i="1049"/>
  <c r="D8" i="1049"/>
  <c r="D10" i="1049"/>
  <c r="D12" i="1049"/>
  <c r="AC51" i="1049"/>
  <c r="W52" i="1049"/>
  <c r="AC58" i="1049"/>
  <c r="D15" i="1049"/>
  <c r="W55" i="1049"/>
  <c r="F22" i="31060"/>
  <c r="J22" i="31060"/>
  <c r="J21" i="31060"/>
  <c r="J14" i="31060"/>
  <c r="F14" i="31060"/>
  <c r="D14" i="31060"/>
  <c r="F15" i="31060"/>
  <c r="D12" i="31060"/>
  <c r="H12" i="31060"/>
  <c r="H15" i="31060"/>
  <c r="F20" i="31060"/>
  <c r="F24" i="31060"/>
  <c r="H8" i="31060"/>
  <c r="F8" i="31060"/>
  <c r="D13" i="31060"/>
  <c r="F21" i="31060"/>
  <c r="F13" i="31060"/>
  <c r="H17" i="31060"/>
  <c r="D15" i="31060"/>
  <c r="D17" i="31060"/>
  <c r="J27" i="31060"/>
  <c r="P62" i="31063"/>
  <c r="P80" i="31063"/>
  <c r="P61" i="31063"/>
  <c r="C10" i="31076"/>
  <c r="P25" i="31076"/>
  <c r="C18" i="31076"/>
  <c r="C8" i="31076"/>
  <c r="O22" i="31076"/>
  <c r="P20" i="31076"/>
  <c r="P55" i="31076"/>
  <c r="O11" i="31089"/>
  <c r="O15" i="31089"/>
  <c r="O20" i="31089"/>
  <c r="O24" i="31089"/>
  <c r="O9" i="31089"/>
  <c r="O13" i="31089"/>
  <c r="O18" i="31089"/>
  <c r="O22" i="31089"/>
  <c r="O26" i="31089"/>
  <c r="O12" i="31089"/>
  <c r="O17" i="31089"/>
  <c r="O21" i="31089"/>
  <c r="O25" i="31089"/>
  <c r="X24" i="31086"/>
  <c r="C13" i="31086"/>
  <c r="V11" i="31086"/>
  <c r="D26" i="31067"/>
  <c r="U14" i="31090"/>
  <c r="S14" i="31090" s="1"/>
  <c r="T16" i="31090"/>
  <c r="T17" i="31090"/>
  <c r="S17" i="31090" s="1"/>
  <c r="T18" i="31090"/>
  <c r="T110" i="31090"/>
  <c r="U22" i="31090"/>
  <c r="C23" i="31088"/>
  <c r="S55" i="31090"/>
  <c r="O90" i="31063"/>
  <c r="H29" i="31060"/>
  <c r="T32" i="31090"/>
  <c r="AD14" i="31093"/>
  <c r="O65" i="31076"/>
  <c r="J29" i="31060"/>
  <c r="U120" i="31090"/>
  <c r="C28" i="31086"/>
  <c r="V26" i="31086"/>
  <c r="R61" i="31087"/>
  <c r="C29" i="31076"/>
  <c r="F29" i="31060"/>
  <c r="C11" i="31088"/>
  <c r="C9" i="31088"/>
  <c r="T9" i="31088"/>
  <c r="S15" i="31088"/>
  <c r="T16" i="31088"/>
  <c r="S21" i="31088"/>
  <c r="V31" i="31088"/>
  <c r="C29" i="31088"/>
  <c r="T31" i="31088"/>
  <c r="C29" i="31087"/>
  <c r="R27" i="31087" s="1"/>
  <c r="C16" i="31087"/>
  <c r="R14" i="31087" s="1"/>
  <c r="R93" i="31087"/>
  <c r="S17" i="31087"/>
  <c r="T27" i="31087"/>
  <c r="W26" i="31086"/>
  <c r="V82" i="31086"/>
  <c r="C9" i="31086"/>
  <c r="V7" i="31086" s="1"/>
  <c r="C22" i="31086"/>
  <c r="V20" i="31086"/>
  <c r="C27" i="31086"/>
  <c r="V25" i="31086" s="1"/>
  <c r="C21" i="31086"/>
  <c r="V19" i="31086" s="1"/>
  <c r="C7" i="31086"/>
  <c r="V5" i="31086" s="1"/>
  <c r="W13" i="31086"/>
  <c r="C17" i="31086"/>
  <c r="V15" i="31086" s="1"/>
  <c r="W17" i="31086"/>
  <c r="X21" i="31086"/>
  <c r="C10" i="31086"/>
  <c r="V8" i="31086" s="1"/>
  <c r="BG14" i="31093"/>
  <c r="AE48" i="31092"/>
  <c r="O28" i="1049"/>
  <c r="U28" i="31087"/>
  <c r="V28" i="31087"/>
  <c r="BG58" i="31093" l="1"/>
  <c r="F48" i="31092"/>
  <c r="M48" i="31092"/>
  <c r="AC48" i="31092"/>
  <c r="AA48" i="31092"/>
  <c r="D48" i="31092"/>
  <c r="AD13" i="31093"/>
  <c r="AD6" i="31093" s="1"/>
  <c r="AB6" i="31093"/>
  <c r="BI58" i="31093"/>
  <c r="O14" i="31089"/>
  <c r="T29" i="31088"/>
  <c r="C13" i="31088"/>
  <c r="C14" i="31088"/>
  <c r="C10" i="31088"/>
  <c r="C18" i="31088"/>
  <c r="S26" i="31088"/>
  <c r="C22" i="31088"/>
  <c r="S25" i="31088"/>
  <c r="T28" i="31088"/>
  <c r="C16" i="31088"/>
  <c r="U30" i="31088"/>
  <c r="C25" i="31088"/>
  <c r="V30" i="31088"/>
  <c r="R58" i="31087"/>
  <c r="H34" i="31087"/>
  <c r="S24" i="31087"/>
  <c r="D34" i="31087"/>
  <c r="C36" i="31087"/>
  <c r="C35" i="31087"/>
  <c r="S19" i="31087"/>
  <c r="D35" i="31087"/>
  <c r="D36" i="31087"/>
  <c r="V24" i="31087"/>
  <c r="G34" i="31087"/>
  <c r="R90" i="31087"/>
  <c r="M34" i="31087"/>
  <c r="T19" i="31087"/>
  <c r="E35" i="31087"/>
  <c r="E36" i="31087"/>
  <c r="C23" i="31087"/>
  <c r="R21" i="31087" s="1"/>
  <c r="T24" i="31087"/>
  <c r="S28" i="31087"/>
  <c r="D33" i="31087"/>
  <c r="M36" i="31087"/>
  <c r="M35" i="31087"/>
  <c r="R53" i="31087"/>
  <c r="H36" i="31087"/>
  <c r="H35" i="31087"/>
  <c r="C24" i="31087"/>
  <c r="R22" i="31087" s="1"/>
  <c r="C25" i="31087"/>
  <c r="R23" i="31087" s="1"/>
  <c r="C16" i="31086"/>
  <c r="V14" i="31086" s="1"/>
  <c r="C15" i="31086"/>
  <c r="V13" i="31086" s="1"/>
  <c r="C18" i="31086"/>
  <c r="V16" i="31086" s="1"/>
  <c r="C24" i="31086"/>
  <c r="V22" i="31086" s="1"/>
  <c r="C26" i="31086"/>
  <c r="V24" i="31086" s="1"/>
  <c r="C12" i="31086"/>
  <c r="V10" i="31086" s="1"/>
  <c r="C23" i="31086"/>
  <c r="V21" i="31086" s="1"/>
  <c r="C25" i="31086"/>
  <c r="V23" i="31086" s="1"/>
  <c r="Z27" i="31086"/>
  <c r="BI31" i="31093"/>
  <c r="V48" i="31092"/>
  <c r="X48" i="31092"/>
  <c r="U48" i="31092"/>
  <c r="E48" i="31092"/>
  <c r="AG12" i="31092"/>
  <c r="L48" i="31092"/>
  <c r="AG45" i="31092"/>
  <c r="BI29" i="31093"/>
  <c r="S45" i="31090"/>
  <c r="S90" i="31090"/>
  <c r="S19" i="31090"/>
  <c r="S85" i="31090"/>
  <c r="S16" i="31090"/>
  <c r="D26" i="31090"/>
  <c r="C26" i="31090" s="1"/>
  <c r="D12" i="31090"/>
  <c r="C12" i="31090" s="1"/>
  <c r="S9" i="31090"/>
  <c r="U20" i="31090"/>
  <c r="S30" i="31090"/>
  <c r="D29" i="31090"/>
  <c r="C29" i="31090" s="1"/>
  <c r="D21" i="31090"/>
  <c r="C21" i="31090" s="1"/>
  <c r="D8" i="31090"/>
  <c r="C8" i="31090" s="1"/>
  <c r="S18" i="31090"/>
  <c r="D25" i="31090"/>
  <c r="C25" i="31090" s="1"/>
  <c r="S77" i="31090"/>
  <c r="S21" i="31090"/>
  <c r="D7" i="1049"/>
  <c r="O8" i="1049" s="1"/>
  <c r="W48" i="1049"/>
  <c r="D29" i="1049"/>
  <c r="W51" i="1049"/>
  <c r="W62" i="1049"/>
  <c r="O13" i="1049"/>
  <c r="AC44" i="1049"/>
  <c r="D16" i="1049"/>
  <c r="O16" i="1049" s="1"/>
  <c r="W46" i="1049"/>
  <c r="AC43" i="1049"/>
  <c r="D18" i="1049"/>
  <c r="J7" i="31060"/>
  <c r="F7" i="31060"/>
  <c r="H7" i="31060"/>
  <c r="J20" i="31060"/>
  <c r="F19" i="31060"/>
  <c r="J8" i="31060"/>
  <c r="J10" i="31060"/>
  <c r="D30" i="31060"/>
  <c r="F23" i="31060"/>
  <c r="F26" i="31060"/>
  <c r="H26" i="31060"/>
  <c r="H20" i="31060"/>
  <c r="F30" i="31060"/>
  <c r="H23" i="31060"/>
  <c r="H30" i="31060"/>
  <c r="J19" i="31060"/>
  <c r="J26" i="31060"/>
  <c r="F10" i="31060"/>
  <c r="C16" i="31076"/>
  <c r="O27" i="31076"/>
  <c r="O10" i="31076"/>
  <c r="C28" i="31076"/>
  <c r="C24" i="31076"/>
  <c r="C23" i="31076"/>
  <c r="O31" i="31076"/>
  <c r="C15" i="31076"/>
  <c r="P26" i="31076"/>
  <c r="O61" i="31063"/>
  <c r="O62" i="31063"/>
  <c r="C24" i="31063"/>
  <c r="O59" i="31063"/>
  <c r="O66" i="31076"/>
  <c r="D7" i="31060"/>
  <c r="D11" i="31060"/>
  <c r="K9" i="31060"/>
  <c r="J18" i="31060"/>
  <c r="C23" i="31063"/>
  <c r="S14" i="31088"/>
  <c r="W43" i="1049"/>
  <c r="N48" i="31092"/>
  <c r="P31" i="31076"/>
  <c r="P30" i="31076"/>
  <c r="W57" i="1049"/>
  <c r="W49" i="1049"/>
  <c r="O30" i="31077"/>
  <c r="C36" i="31067"/>
  <c r="AC47" i="1049"/>
  <c r="T13" i="31090"/>
  <c r="S13" i="31090" s="1"/>
  <c r="S47" i="31090"/>
  <c r="P66" i="31076"/>
  <c r="S121" i="31090"/>
  <c r="C29" i="31086"/>
  <c r="V27" i="31086" s="1"/>
  <c r="C19" i="31086"/>
  <c r="V17" i="31086" s="1"/>
  <c r="H11" i="31060"/>
  <c r="F16" i="31060"/>
  <c r="S10" i="31090"/>
  <c r="C26" i="31087"/>
  <c r="J16" i="31060"/>
  <c r="U26" i="31088"/>
  <c r="X9" i="31086"/>
  <c r="C22" i="31076"/>
  <c r="H13" i="31060"/>
  <c r="W10" i="31086"/>
  <c r="T20" i="31088"/>
  <c r="S72" i="31090"/>
  <c r="U26" i="31087"/>
  <c r="S30" i="31088"/>
  <c r="S69" i="31090"/>
  <c r="O91" i="31063"/>
  <c r="F11" i="31060"/>
  <c r="S82" i="31090"/>
  <c r="D10" i="31090"/>
  <c r="C10" i="31090" s="1"/>
  <c r="O22" i="1049"/>
  <c r="D11" i="1049"/>
  <c r="O12" i="1049" s="1"/>
  <c r="W50" i="1049"/>
  <c r="S71" i="31090"/>
  <c r="U11" i="31090"/>
  <c r="S11" i="31090" s="1"/>
  <c r="S54" i="31090"/>
  <c r="T20" i="31090"/>
  <c r="S20" i="31090" s="1"/>
  <c r="P91" i="31063"/>
  <c r="BH42" i="31093"/>
  <c r="BH41" i="31093" s="1"/>
  <c r="AD148" i="31091"/>
  <c r="AC14" i="31093" s="1"/>
  <c r="BH14" i="31093" s="1"/>
  <c r="S80" i="31090"/>
  <c r="D30" i="31090"/>
  <c r="C30" i="31090" s="1"/>
  <c r="D18" i="31060"/>
  <c r="W47" i="1049"/>
  <c r="W44" i="1049"/>
  <c r="AC50" i="1049"/>
  <c r="AC48" i="1049"/>
  <c r="S48" i="31090"/>
  <c r="S15" i="31090"/>
  <c r="S29" i="31090"/>
  <c r="C48" i="31092"/>
  <c r="BH58" i="31093"/>
  <c r="BH29" i="31093"/>
  <c r="C26" i="31088"/>
  <c r="O10" i="1049"/>
  <c r="C27" i="31076"/>
  <c r="C12" i="31088"/>
  <c r="O20" i="31077"/>
  <c r="U23" i="31090"/>
  <c r="S23" i="31090" s="1"/>
  <c r="S24" i="31090"/>
  <c r="C30" i="31088"/>
  <c r="T32" i="31088"/>
  <c r="W58" i="1049"/>
  <c r="D25" i="1049"/>
  <c r="O25" i="1049" s="1"/>
  <c r="O19" i="31089"/>
  <c r="O27" i="31089"/>
  <c r="S28" i="31090"/>
  <c r="C30" i="31086"/>
  <c r="V62" i="31086"/>
  <c r="C30" i="31087"/>
  <c r="C33" i="31087" s="1"/>
  <c r="R62" i="31087"/>
  <c r="O32" i="31076"/>
  <c r="O63" i="31063"/>
  <c r="F31" i="31090"/>
  <c r="R52" i="31087"/>
  <c r="S19" i="31088"/>
  <c r="AC61" i="1049"/>
  <c r="P32" i="31076"/>
  <c r="P63" i="31063"/>
  <c r="AD48" i="31092"/>
  <c r="C30" i="31063"/>
  <c r="AC53" i="1049"/>
  <c r="AC57" i="1049"/>
  <c r="S26" i="31090"/>
  <c r="W61" i="1049"/>
  <c r="W53" i="1049"/>
  <c r="W45" i="1049"/>
  <c r="T28" i="31087"/>
  <c r="R94" i="31087"/>
  <c r="C30" i="31076"/>
  <c r="AC56" i="1049"/>
  <c r="O29" i="31089"/>
  <c r="S22" i="31090"/>
  <c r="S25" i="31090"/>
  <c r="K26" i="2"/>
  <c r="O13" i="2"/>
  <c r="O38" i="2" s="1"/>
  <c r="K38" i="2"/>
  <c r="O29" i="1049"/>
  <c r="AC62" i="1049"/>
  <c r="W28" i="31086"/>
  <c r="V93" i="31086"/>
  <c r="L31" i="31090"/>
  <c r="AC13" i="31093"/>
  <c r="AF13" i="31093" s="1"/>
  <c r="AC45" i="1049"/>
  <c r="D19" i="1049"/>
  <c r="O19" i="1049" s="1"/>
  <c r="D23" i="1049"/>
  <c r="O23" i="1049" s="1"/>
  <c r="AC55" i="1049"/>
  <c r="O23" i="31089"/>
  <c r="AC60" i="1049"/>
  <c r="AC63" i="1049"/>
  <c r="BI14" i="31093"/>
  <c r="S49" i="31090"/>
  <c r="U32" i="31090"/>
  <c r="S32" i="31090" s="1"/>
  <c r="S89" i="31090"/>
  <c r="G31" i="31090"/>
  <c r="H31" i="31090"/>
  <c r="O24" i="1049"/>
  <c r="O14" i="1049"/>
  <c r="O15" i="1049"/>
  <c r="O18" i="1049"/>
  <c r="O17" i="1049"/>
  <c r="D20" i="1049"/>
  <c r="O20" i="1049" s="1"/>
  <c r="D30" i="1049"/>
  <c r="AF14" i="31093" l="1"/>
  <c r="AM74" i="31093" s="1"/>
  <c r="O20" i="2"/>
  <c r="O32" i="2"/>
  <c r="R24" i="31087"/>
  <c r="C34" i="31087"/>
  <c r="AG48" i="31092"/>
  <c r="O11" i="1049"/>
  <c r="P30" i="31077"/>
  <c r="AC6" i="31093"/>
  <c r="AF6" i="31093" s="1"/>
  <c r="P64" i="31077"/>
  <c r="J9" i="31060"/>
  <c r="F9" i="31060"/>
  <c r="D9" i="31060"/>
  <c r="V28" i="31086"/>
  <c r="O26" i="1049"/>
  <c r="O26" i="2"/>
  <c r="T121" i="31090"/>
  <c r="R28" i="31087"/>
  <c r="O64" i="31077"/>
  <c r="D31" i="31090"/>
  <c r="C31" i="31090" s="1"/>
  <c r="H9" i="31060"/>
  <c r="U121" i="31090"/>
  <c r="O30" i="1049"/>
  <c r="O21" i="1049"/>
  <c r="AM71" i="31093" l="1"/>
  <c r="AM73" i="31093"/>
  <c r="AM72" i="31093"/>
</calcChain>
</file>

<file path=xl/sharedStrings.xml><?xml version="1.0" encoding="utf-8"?>
<sst xmlns="http://schemas.openxmlformats.org/spreadsheetml/2006/main" count="947" uniqueCount="371">
  <si>
    <t>Total</t>
  </si>
  <si>
    <t>Hidro</t>
  </si>
  <si>
    <t>Termo</t>
  </si>
  <si>
    <t>TOTAL</t>
  </si>
  <si>
    <t>Hidráulica</t>
  </si>
  <si>
    <t>Térmica</t>
  </si>
  <si>
    <t>Eólica</t>
  </si>
  <si>
    <t>-----</t>
  </si>
  <si>
    <t>Regulados</t>
  </si>
  <si>
    <t>Libres</t>
  </si>
  <si>
    <t>Distribuidoras</t>
  </si>
  <si>
    <t>Generadoras</t>
  </si>
  <si>
    <t xml:space="preserve">Total </t>
  </si>
  <si>
    <t>Generación</t>
  </si>
  <si>
    <t>Mercado eléctrico</t>
  </si>
  <si>
    <t>Uso propio</t>
  </si>
  <si>
    <t>Regulado</t>
  </si>
  <si>
    <t>Libre</t>
  </si>
  <si>
    <t>Año</t>
  </si>
  <si>
    <t>Mercado Libre</t>
  </si>
  <si>
    <t>Mercado Regulado</t>
  </si>
  <si>
    <t>MAT</t>
  </si>
  <si>
    <t>AT</t>
  </si>
  <si>
    <t>MT</t>
  </si>
  <si>
    <t>BT</t>
  </si>
  <si>
    <t>Total Libre</t>
  </si>
  <si>
    <t>Total Regulado</t>
  </si>
  <si>
    <t>Clientes</t>
  </si>
  <si>
    <t>Totales</t>
  </si>
  <si>
    <t>PERÍODO</t>
  </si>
  <si>
    <t xml:space="preserve">(60 - 70) </t>
  </si>
  <si>
    <t xml:space="preserve">(70 - 80) </t>
  </si>
  <si>
    <t xml:space="preserve">(80 - 90) </t>
  </si>
  <si>
    <t>Total General</t>
  </si>
  <si>
    <t>Potencia Instalada  (MW)</t>
  </si>
  <si>
    <t>Incrementos periódicos de potencia instalada  (%)</t>
  </si>
  <si>
    <t>Crecimiento medio anual de la potencia instalada  (%)</t>
  </si>
  <si>
    <t xml:space="preserve">(90 - 00) </t>
  </si>
  <si>
    <t>Total-ML</t>
  </si>
  <si>
    <t>Total-MR</t>
  </si>
  <si>
    <t>Industrial</t>
  </si>
  <si>
    <t>Comercial</t>
  </si>
  <si>
    <t>Residencial</t>
  </si>
  <si>
    <t>Alumbrado Público</t>
  </si>
  <si>
    <t>%</t>
  </si>
  <si>
    <r>
      <t xml:space="preserve">D </t>
    </r>
    <r>
      <rPr>
        <b/>
        <sz val="10"/>
        <color indexed="9"/>
        <rFont val="Arial"/>
        <family val="2"/>
      </rPr>
      <t>Anual</t>
    </r>
  </si>
  <si>
    <t>Mercado Eléctrico</t>
  </si>
  <si>
    <t>Uso Propio</t>
  </si>
  <si>
    <t xml:space="preserve">10.3   INCREMENTO Y CRECIMIENTO MEDIO ANUAL DE LA POTENCIA INSTALADA POR DÉCADAS </t>
  </si>
  <si>
    <t>10.4.     EVOLUCIÓN DE LA PRODUCCIÓN DE ENERGÍA ELÉCTRICA (GW.h)</t>
  </si>
  <si>
    <t>Tipo de Mercado</t>
  </si>
  <si>
    <t>Facturación a Cliente Final</t>
  </si>
  <si>
    <t>Consumo</t>
  </si>
  <si>
    <t>Ventas a Cliente Final</t>
  </si>
  <si>
    <t>de uso propio</t>
  </si>
  <si>
    <t>10.13 EVOLUCIÓN DEL NÚMERO DE CLIENTES POR NIVEL DE TENSIÓN</t>
  </si>
  <si>
    <t xml:space="preserve">(00 - 10) </t>
  </si>
  <si>
    <t>AÑO</t>
  </si>
  <si>
    <t>Solar</t>
  </si>
  <si>
    <t>10.2.     EVOLUCIÓN DE LA POTENCIA EFECTIVA (MW)</t>
  </si>
  <si>
    <t>Precio Medio por Sector Económico</t>
  </si>
  <si>
    <t>(*) Corresponde al cociente de la facturación y venta total de energía eléctrica</t>
  </si>
  <si>
    <t>Precio Medio *</t>
  </si>
  <si>
    <t>10. 12   EVOLUCIÓN DEL CONSUMO DE ENERGÍA ELÉCTRICA (GW.h)</t>
  </si>
  <si>
    <t>10.14    EVOLUCIÓN DEL NÚMERO DE TRABAJADORES</t>
  </si>
  <si>
    <t>TRABAJADORES POR ACTIVIDAD</t>
  </si>
  <si>
    <t>Transmisoras</t>
  </si>
  <si>
    <t>10.15    EVOLUCIÓN DE LAS PÉRDIDAS EN DISTRIBUCIÓN (%)</t>
  </si>
  <si>
    <t>Pérdidas (%)</t>
  </si>
  <si>
    <t>10.16    EVOLUCIÓN DE LA MÁXIMA DEMANDA DEL SEIN (MW)</t>
  </si>
  <si>
    <t>Tasa Anual (%)</t>
  </si>
  <si>
    <t>1997*</t>
  </si>
  <si>
    <t>2001**</t>
  </si>
  <si>
    <t>(*) De 1997 a 1999 : SICN + SIS</t>
  </si>
  <si>
    <t xml:space="preserve">Máxima Demanda (MW) </t>
  </si>
  <si>
    <t>-</t>
  </si>
  <si>
    <t>TARIFA DE BARRA (S/.)</t>
  </si>
  <si>
    <t>COSTO MARGINAL($)</t>
  </si>
  <si>
    <t>TARIFA DE BARRA ($)</t>
  </si>
  <si>
    <t>MES-AÑ0</t>
  </si>
  <si>
    <t>CMGM</t>
  </si>
  <si>
    <t>T.CAMBIO</t>
  </si>
  <si>
    <t>T. BARRA</t>
  </si>
  <si>
    <t>HP</t>
  </si>
  <si>
    <t>HFP</t>
  </si>
  <si>
    <t>PONDERADO</t>
  </si>
  <si>
    <t>PUNTA</t>
  </si>
  <si>
    <t>MEDIA</t>
  </si>
  <si>
    <t>BASE</t>
  </si>
  <si>
    <t>T. B.  HP</t>
  </si>
  <si>
    <t>T. B.  HFP</t>
  </si>
  <si>
    <t>T. B. PONDERADO</t>
  </si>
  <si>
    <t>(S/./KWh)</t>
  </si>
  <si>
    <t>($./KWh)</t>
  </si>
  <si>
    <t>($./MWh)</t>
  </si>
  <si>
    <t>(S/./kW.h)</t>
  </si>
  <si>
    <t>($/./MWh)</t>
  </si>
  <si>
    <t>Ene</t>
  </si>
  <si>
    <t>Mes</t>
  </si>
  <si>
    <t>Costo Marginal</t>
  </si>
  <si>
    <t>Precio en Barra</t>
  </si>
  <si>
    <t>Incrementos</t>
  </si>
  <si>
    <t>Feb</t>
  </si>
  <si>
    <t>(US$/MW.h)</t>
  </si>
  <si>
    <t>CMg</t>
  </si>
  <si>
    <t>Tbarra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</si>
  <si>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</si>
  <si>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</si>
  <si>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</si>
  <si>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</si>
  <si>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</si>
  <si>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</si>
  <si>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</si>
  <si>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</si>
  <si>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</si>
  <si>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</si>
  <si>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Set</t>
  </si>
  <si>
    <t>Nº</t>
  </si>
  <si>
    <t>Actividad de generación</t>
  </si>
  <si>
    <t>CEMENTOS LIMA S.A.</t>
  </si>
  <si>
    <t>CEMENTOS NORTE PACASMAYO ENERGÍA S.A.</t>
  </si>
  <si>
    <t>DUKE ENERGY INTERNATIONAL EGENOR S. EN C. POR A.</t>
  </si>
  <si>
    <t>ELECTRICIDAD ANDINA S.A.</t>
  </si>
  <si>
    <t>EMPRESA ADMINISTRADORA CHUNGAR S.A.C.</t>
  </si>
  <si>
    <t>EMPRESA DE GENERACIÓN ELÉCTRICA CHÉVES S.A.</t>
  </si>
  <si>
    <t>EMPRESA DE GENERACIÓN ELÉCTRICA HUANZA S.A.</t>
  </si>
  <si>
    <t>EMPRESA DE GENERACIÓN TERMOELÉCTRICA VENTANILLA S.A.</t>
  </si>
  <si>
    <t>EMPRESA GEN. Y COMER. DE SERV.PÚB.DE ELECTRICIDAD PANGOA S.A.</t>
  </si>
  <si>
    <t>EMPRESA PERUANA DE INVERSIONES EN ENERGÍAS RENOVABLES S.A.C.</t>
  </si>
  <si>
    <t>HYDRO TAMBORAQUE</t>
  </si>
  <si>
    <t>QUITARACSA S.A. EMPRESA DE GENERACIÓN ELÉCTRICA</t>
  </si>
  <si>
    <t>SOCIEDAD MINERA CORONA S.A.</t>
  </si>
  <si>
    <t>TARUCANI GENERATING COMPANY S.A.</t>
  </si>
  <si>
    <t>TERMOCHILCA S.A.C.</t>
  </si>
  <si>
    <t>TERMOSELVA S.R.L.</t>
  </si>
  <si>
    <t>Actividad de transmisión</t>
  </si>
  <si>
    <t>CONSORCIO MINERO HORIZONTE S.A.</t>
  </si>
  <si>
    <t>ETENORTE S.R.L.</t>
  </si>
  <si>
    <t>ETESELVA S.R.L.</t>
  </si>
  <si>
    <t>Actividad de distribución</t>
  </si>
  <si>
    <t xml:space="preserve">CONSORCIO ELÉCTRICO DE VILLACURI S.A.C. </t>
  </si>
  <si>
    <t>ELECTRO PANGOA S.A.</t>
  </si>
  <si>
    <t>ELECTROCENTRO S.A.</t>
  </si>
  <si>
    <t xml:space="preserve">ELECTRONOROESTE S.A. </t>
  </si>
  <si>
    <t xml:space="preserve">ELECTRONORTE S.A. </t>
  </si>
  <si>
    <t>EMPRESA DE SERV.ELÉCTRICOS MUNICIPALES DE PARAMONGA S.A.</t>
  </si>
  <si>
    <t>EMPRESA MUNICIPAL DE SERVICIO ELÉCTRICO DE TOCACHE S.A.</t>
  </si>
  <si>
    <t xml:space="preserve">EMPRESA MUNICIPAL DE SERVICIOS ELÉCTRICOS UTCUBAMBA S.A.C. </t>
  </si>
  <si>
    <t>HIDRANDINA S.A.</t>
  </si>
  <si>
    <t>LUZ DEL SUR S.A.A.</t>
  </si>
  <si>
    <t xml:space="preserve">SERVICIOS ELECTRICOS RIOJA S.A. </t>
  </si>
  <si>
    <t>ELECTROANDES S.A.*</t>
  </si>
  <si>
    <t>ELECTROLIMA</t>
  </si>
  <si>
    <t>ELECTROPERÚ S.A.</t>
  </si>
  <si>
    <t xml:space="preserve">EMPRESA DE GENERACIÓN DE ENERGÍA ELÉCTRICA DEL CENTRO S.A. </t>
  </si>
  <si>
    <t>EMPRESA DE GENERACIÓN ELÉCTRICA DE AREQUIPA S.A.</t>
  </si>
  <si>
    <t xml:space="preserve">EMPRESA DE GENERACIÓN ELÉCTRICA DEL SUR S.A. </t>
  </si>
  <si>
    <t xml:space="preserve">EMPRESA DE GENERACIÓN ELÉCTRICA MACHUPICCHU S.A. </t>
  </si>
  <si>
    <t>EMPRESA DE GENERACIÓN ELÉCTRICA SAN GABAN S.A.</t>
  </si>
  <si>
    <t>EMPRESA DE TRANSMISIÓN ELÉCTRICA DEL CENTRO NORTE S.A.</t>
  </si>
  <si>
    <t>EMPRESA DE TRANSMISIÓN ELÉCTRICA DEL SUR S.A.</t>
  </si>
  <si>
    <t>INADE - PROYECTO ESPECIAL OLMOS TINAJONES</t>
  </si>
  <si>
    <t>ELECTRO ORIENTE S.A.</t>
  </si>
  <si>
    <t>ELECTRO PUNO S.A.A.</t>
  </si>
  <si>
    <t>ELECTRO SUR ESTE S.A.A.</t>
  </si>
  <si>
    <t>ELECTRO SUR MEDIO S.A.A.</t>
  </si>
  <si>
    <t>ELECTRO TOCACHE S.A.</t>
  </si>
  <si>
    <t>ELECTRO UCAYALI S.A.</t>
  </si>
  <si>
    <t>ELECTROSUR S.A.</t>
  </si>
  <si>
    <t>ELECTRO NORTE MEDIO - HIDRANDINA S.A.</t>
  </si>
  <si>
    <t>INADE - PROYECTO ESPECIAL CHAVIMOCHIC</t>
  </si>
  <si>
    <t>SOCIEDAD ELÉCTRICA DEL SUR OESTE S.A. (SEAL)</t>
  </si>
  <si>
    <r>
      <t>(*)</t>
    </r>
    <r>
      <rPr>
        <sz val="9"/>
        <rFont val="Arial"/>
        <family val="2"/>
      </rPr>
      <t xml:space="preserve"> La DEP y el FONER se fusionaron en mayo de 2007 creándose la Dirección General de Electrificación Rural - DGER</t>
    </r>
  </si>
  <si>
    <t>Privada</t>
  </si>
  <si>
    <t>Total Inversiones*</t>
  </si>
  <si>
    <t>* Se incluyen las inversiones estatales, privadas y en electrificación rural</t>
  </si>
  <si>
    <t>Empresa</t>
  </si>
  <si>
    <t>Estatal</t>
  </si>
  <si>
    <t>Rural (*)</t>
  </si>
  <si>
    <t>BIOENERGÍA DEL CHIRA S.A.</t>
  </si>
  <si>
    <t>CENTRAL HIDROELECTRICA LANGUI S.A.</t>
  </si>
  <si>
    <t>CENTRAL HIDROELECTRICA SAN HILARION S.A.</t>
  </si>
  <si>
    <t>ECO ENERGY SAC</t>
  </si>
  <si>
    <t>ELECTRICA RIO DOBLE SA</t>
  </si>
  <si>
    <t>ELECTRICA SANTA ROSA S.A.C.</t>
  </si>
  <si>
    <t>HIDROCAÑETE SA</t>
  </si>
  <si>
    <t>HOT ROCK PERU SA</t>
  </si>
  <si>
    <t>T-SOLAR SAC</t>
  </si>
  <si>
    <t>EMPRESA DE DISTRIBUCION ELECTRICA DE CAÑETE  S.A.</t>
  </si>
  <si>
    <t>Eólico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</si>
  <si>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</si>
  <si>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</si>
  <si>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</si>
  <si>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</si>
  <si>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</si>
  <si>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</si>
  <si>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</si>
  <si>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</si>
  <si>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</si>
  <si>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</si>
  <si>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</si>
  <si>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</si>
  <si>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</si>
  <si>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</si>
  <si>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CHINANGO S.A.C.</t>
  </si>
  <si>
    <t>CERRO DEL AGUILA S.A.</t>
  </si>
  <si>
    <t>ABENGOA S.A.</t>
  </si>
  <si>
    <t>DISTRIBUIDORAS</t>
  </si>
  <si>
    <t>TRANSMISORAS</t>
  </si>
  <si>
    <t>PRIVADA</t>
  </si>
  <si>
    <t>GENERADORAS</t>
  </si>
  <si>
    <t>10.6.    EVOLUCIÓN DE  VENTAS  DE  ENERGÍA  ELÉCTRICA  A CLIENTE FINAL (GW.h)</t>
  </si>
  <si>
    <t>10.7.  EVOLUCIÓN DE FACTURACIÓN DE ENERGÍA ELÉCTRICA  A CLIENTE FINAL (miles US$)</t>
  </si>
  <si>
    <t>10.8  PRECIO MEDIO DE ENERGÍA ELÉCTRICA  POR TIPO DE EMPRESA Y MERCADO (cent. US$ / kW.h)</t>
  </si>
  <si>
    <t>10.9.    EVOLUCIÓN DE VENTAS DE ENERGÍA ELÉCTRICA POR SECTOR ECONÓMICO (GW.h)</t>
  </si>
  <si>
    <t>10.10  EVOLUCIÓN DE FACTURACIÓN DE ENERGÍA ELÉCTRICA POR SECTOR ECONÓMICO (miles US$)</t>
  </si>
  <si>
    <t>10.11  PRECIO MEDIO DE ENERGÍA ELÉCTRICA POR SECTOR ECONÓMICO (cent. US$/kW.h) *</t>
  </si>
  <si>
    <t>10.18 EVOLUCIÓN DEL COSTO MARGINAL Y LA TARIFA EN BARRA (US$/MW.h)</t>
  </si>
  <si>
    <t>10.5  EVOLUCIÓN DE LA LONGITUD TOTAL DE LÍNEAS DE TRANSMISIÓN A NIVEL NACIONAL (km)</t>
  </si>
  <si>
    <t>Longitud de Líneas de Transmisión</t>
  </si>
  <si>
    <t>Nivel de Tensión ( kV )</t>
  </si>
  <si>
    <t>30 - 50</t>
  </si>
  <si>
    <t>60 - 69</t>
  </si>
  <si>
    <t>2011*</t>
  </si>
  <si>
    <t>(*) Entra en operación la primera línea en 500 kV  Chilca-La Planicie-Zapallal perteneciente a la empresa ISA Perú S.A.</t>
  </si>
  <si>
    <t xml:space="preserve"> </t>
  </si>
  <si>
    <t>Total Empresas</t>
  </si>
  <si>
    <t>Empresas Estatales</t>
  </si>
  <si>
    <t>Empresas Privadas</t>
  </si>
  <si>
    <r>
      <t>Electrificación Rural</t>
    </r>
    <r>
      <rPr>
        <b/>
        <vertAlign val="superscript"/>
        <sz val="10"/>
        <color indexed="9"/>
        <rFont val="Arial"/>
        <family val="2"/>
      </rPr>
      <t>1</t>
    </r>
  </si>
  <si>
    <t>Estatal (*)</t>
  </si>
  <si>
    <t>2001*</t>
  </si>
  <si>
    <r>
      <t>1</t>
    </r>
    <r>
      <rPr>
        <sz val="8"/>
        <rFont val="Arial"/>
        <family val="2"/>
      </rPr>
      <t xml:space="preserve"> Corresponde a inversiones ejecutadas por la Dirección General de Electrificación Rural.</t>
    </r>
  </si>
  <si>
    <t>(*) En el año 2001 se interconectan los sistemas SICN y SIS para conformar el Sistema Eléctrico Interconectado Nacional - SEIN</t>
  </si>
  <si>
    <t>(**) Información Preliminar</t>
  </si>
  <si>
    <t>Total Estatales</t>
  </si>
  <si>
    <t>Transmisión</t>
  </si>
  <si>
    <t>Distribución</t>
  </si>
  <si>
    <t>(*) No incluye inversiones ejecutadas por la Dirección General de Electrificación Rural - DGER</t>
  </si>
  <si>
    <t>Total Privadas</t>
  </si>
  <si>
    <t>DGER</t>
  </si>
  <si>
    <t>( * ) En el año 2001 se interconectan los sistemas SICN y SIS para conformar el Sistema Eléctrico Interconectado Nacional - SEIN</t>
  </si>
  <si>
    <t>Mercado Electrico</t>
  </si>
  <si>
    <t>---</t>
  </si>
  <si>
    <t>NOTA: El cuadro presenta la longitud lineal del recorrido, no considera el número de ternas.</t>
  </si>
  <si>
    <t>10.1.     EVOLUCIÓN DE LA POTENCIA INSTALADA (MW)</t>
  </si>
  <si>
    <t>ENERGÍA EÓLICA SA</t>
  </si>
  <si>
    <t xml:space="preserve">MOQUEGUA FV S.A.C. </t>
  </si>
  <si>
    <t>MAJA ENERGIA SAC</t>
  </si>
  <si>
    <t>SOLARPACK S.A.</t>
  </si>
  <si>
    <t xml:space="preserve">PETRAMAS S.A. </t>
  </si>
  <si>
    <t>PROYECTO ESPECIAL CHAVIMOCHIC</t>
  </si>
  <si>
    <t>Pública</t>
  </si>
  <si>
    <t>Inversiones ejecutadas por la Direccion General de Electrificación Rural</t>
  </si>
  <si>
    <t>Alumbrado Publico</t>
  </si>
  <si>
    <t>14</t>
  </si>
  <si>
    <t>10.17.1   Resumen de evolución de inversiones ejecutadas por sector y actividad (millones US $)</t>
  </si>
  <si>
    <t>10.17.5.1    Total por empresas privadas, estatales y por la Dirección General de Electrificación Rural (millones US$)</t>
  </si>
  <si>
    <t>10.17.5.2    Desagregado por empresas privadas, estatales y por la Dirección General de Electrificación Rural (millones US$)</t>
  </si>
  <si>
    <t>15</t>
  </si>
  <si>
    <t>EMPRESA DE GENERACIÓN ELÉCTRICA SANTA ANA S.R.L. *</t>
  </si>
  <si>
    <t>EMPRESA DE GENERACIÓN HIDRÁULICA SELVA S.A. *</t>
  </si>
  <si>
    <t>GENRENT DEL PERÚ S.A.C. *</t>
  </si>
  <si>
    <t>HIDROELÉCTRICA MARAÑÓN S.R.L. *</t>
  </si>
  <si>
    <t>HUAURA POWER GROUP S.A. *</t>
  </si>
  <si>
    <t>INFRAESTRUCTURAS Y ENERGÍAS DEL PERÚ S.A.C. *</t>
  </si>
  <si>
    <t>SAMAY I S.A. *</t>
  </si>
  <si>
    <t>ABENGOA TRANSMISIÓN NORTE S.A. *</t>
  </si>
  <si>
    <t>ATN 3 S.A. *</t>
  </si>
  <si>
    <t>CONSORCIO RED ELÉCTRICA INTERNACIONAL S.A. - AC CAPITALES SAFI *</t>
  </si>
  <si>
    <t>(60 - 16)</t>
  </si>
  <si>
    <t>16</t>
  </si>
  <si>
    <t>AGROINDUSTRIAL PARAMONGA S.A.</t>
  </si>
  <si>
    <t>AGUAS Y ENERGIA PERU S.A.</t>
  </si>
  <si>
    <t>COMPAÑÍA ELECTRICA EL PLATANAL S.A. (CELEPSA)</t>
  </si>
  <si>
    <t>CORPORACION MINERA DEL PERU S.A. *</t>
  </si>
  <si>
    <t>EMPRESA DE GENERACIÓN ELÉCTRICA CANCHAYLLO S.A.C. *</t>
  </si>
  <si>
    <t>EMPRESA DE GENERACION ELECTRICA DE JUNÍN S.A.C.</t>
  </si>
  <si>
    <t>EMPRESA DE GENERACIÓN HIDROELÉCTRICA DEL CUSCO S.A. *</t>
  </si>
  <si>
    <t xml:space="preserve">EMPRESA DE GENERACION HUALLAGA S.A. </t>
  </si>
  <si>
    <t>EMPRESA ELÉCTRICA AGUA AZUL S.A.</t>
  </si>
  <si>
    <t xml:space="preserve">LA VIRGEN S.A.C. </t>
  </si>
  <si>
    <t>PARQUE EÓLICO MARCONA S.A.C. (COBRA PERU)</t>
  </si>
  <si>
    <t>PARQUE EÓLICO TRES HERMANAS S.A.C.</t>
  </si>
  <si>
    <t>PERUANA DE ENERGIA S.A. (PERENE)</t>
  </si>
  <si>
    <t>SHOUGANG GENERACION ELECTRICA S.A.A. (SHOUGESA)</t>
  </si>
  <si>
    <t>SINDICATO ENERGETICO S.A. (SINERSA)</t>
  </si>
  <si>
    <t>STATKRAFT PERU S.A.</t>
  </si>
  <si>
    <t>SOCIEDAD MINERA CERRO VERDE S.A.A.</t>
  </si>
  <si>
    <t>EMPRESA ELECTRICA NUEVA ESPERANZA SRL</t>
  </si>
  <si>
    <t>FENIX POWER PERU S.A.</t>
  </si>
  <si>
    <t>GENERACIÓN ANDINA S.A.</t>
  </si>
  <si>
    <t>GENERACION ELECTRICA DE ATOCONGO S.A. *</t>
  </si>
  <si>
    <t>GENERADORA DE ENERGIA DEL PERU S.A.*</t>
  </si>
  <si>
    <t>GTS MAJES S.A.C.</t>
  </si>
  <si>
    <t>GTS REPARTICIÓN S.A.C.</t>
  </si>
  <si>
    <t>HIDROELECTRICA SANTA CRUZ S.A.C.</t>
  </si>
  <si>
    <t>KALLPA GENERACION S.A.</t>
  </si>
  <si>
    <t xml:space="preserve">ANDEAN POWER S.A. </t>
  </si>
  <si>
    <t>CONSORCIO ENERGÍA LIMPIA S.A.</t>
  </si>
  <si>
    <t>EMPRESA DE GENERACION MACUSANI S.A.</t>
  </si>
  <si>
    <t>EMPRESA ELÉCTRICA AGUA AZÚL S.A.</t>
  </si>
  <si>
    <t xml:space="preserve">HIDROELÉCTRICA KARPA S.A.C. </t>
  </si>
  <si>
    <t>COMPAÑÍA MINERA PODEROSA S.A. *</t>
  </si>
  <si>
    <t>EGEJUNÍN TULUMAYO IV S.A.C. *</t>
  </si>
  <si>
    <t>EGEJUNÍN TULUMAYO V S.A.C. *</t>
  </si>
  <si>
    <t>EMPRESA DE GENERACIÓN ELÉCTRICA COLCA S.A.*</t>
  </si>
  <si>
    <t>EMPRESA DE GENERACION ELECTRICA RÍO BAÑOS S.A.C.*</t>
  </si>
  <si>
    <t>EMPRESA DE GENERACIÓN ELÉCTRICA SANTA LORENZA S.A.C *</t>
  </si>
  <si>
    <t>EMPRESA ENERGÉTICA MONZON SAC</t>
  </si>
  <si>
    <t>EMPRESA HYDRIKA 1 S.A.C. *</t>
  </si>
  <si>
    <t>EMPRESA HYDRIKA 3 S.A.C. *</t>
  </si>
  <si>
    <t>ENEL GREEN POWER S.A.C</t>
  </si>
  <si>
    <t xml:space="preserve">GR PAINO S.A.C. </t>
  </si>
  <si>
    <t xml:space="preserve">GR TARUCA S.A.C. </t>
  </si>
  <si>
    <t>HIDROELÉCTRICA LAGUNA AZUL S.R.L.</t>
  </si>
  <si>
    <r>
      <t>EMPRESA DE GENERACIÓN ELÉCTRICA CAHUA S.A.</t>
    </r>
    <r>
      <rPr>
        <vertAlign val="superscript"/>
        <sz val="10"/>
        <rFont val="Tahoma"/>
        <family val="2"/>
      </rPr>
      <t xml:space="preserve"> </t>
    </r>
  </si>
  <si>
    <t xml:space="preserve">GLOBELEQ PERU S.A. </t>
  </si>
  <si>
    <t>(*) Información estimada de empresas con proyectos en ejecución.</t>
  </si>
  <si>
    <t>CARAVELI COTAROUSE TRANSMISORA DE ENERGIA S.A.C.</t>
  </si>
  <si>
    <t xml:space="preserve">CONCESIONARIA LÍNEA DE TRANSMISIÓN CCNCM S.A.C. * </t>
  </si>
  <si>
    <t>CONSORCIO ENERGETICO DE HUANCAVELICA S.A. (CONENHUA)</t>
  </si>
  <si>
    <t>TRANSMISORA ELÉCTRICA DEL SUR 2 S.A. *</t>
  </si>
  <si>
    <t>CONSORCIO TRANSMANTARO S.A. (CTM)</t>
  </si>
  <si>
    <t>INTERCONEXION ELECTRICA ISA PERU S.A.</t>
  </si>
  <si>
    <t>LÍNEAS DE TRANSMISIÓN PERUANAS S.A.C. *</t>
  </si>
  <si>
    <t>MINERA AURIFERA RETAMAS S.A. (MARSA)</t>
  </si>
  <si>
    <t>RED DE ENERGIA DEL PERU S.A. (REP)</t>
  </si>
  <si>
    <t>RED ELECTRICA DEL SUR S.A. (REDESUR)</t>
  </si>
  <si>
    <t>TRANSMISORA ELÉCTRICA DEL SUR S.A.</t>
  </si>
  <si>
    <r>
      <t xml:space="preserve">ENEL DISTRIBUCIÓN PERÚ S.A.A. </t>
    </r>
    <r>
      <rPr>
        <vertAlign val="superscript"/>
        <sz val="10"/>
        <rFont val="Tahoma"/>
        <family val="2"/>
      </rPr>
      <t xml:space="preserve">(4) </t>
    </r>
  </si>
  <si>
    <t xml:space="preserve">ELECTRODUNAS S.A.A. </t>
  </si>
  <si>
    <t>17</t>
  </si>
  <si>
    <t>AC ENERGÍA S.A. (*)</t>
  </si>
  <si>
    <t>ANDES GENERATING CORPORATION S.A.C. (*)</t>
  </si>
  <si>
    <t>COMPAÑÍA VERACRUZ S.A.C. (*)</t>
  </si>
  <si>
    <t>ELECTRO ZAÑA S.A.C. (*)</t>
  </si>
  <si>
    <t>ENEL GENERACIÓN PERÚ S.A.A.</t>
  </si>
  <si>
    <t>ENEL GENERACIÓN PIURA S.A.</t>
  </si>
  <si>
    <t>ENGIE ENERGIA PERU S.A.</t>
  </si>
  <si>
    <t>HYDRO GLOBAL PERÚ S.A.C. (*)</t>
  </si>
  <si>
    <t>AGROINDUSTRIAS SAN JACINTO (*)</t>
  </si>
  <si>
    <t>TRANSMISORA ELÉCTRICA DEL SUR 3 S.A. *</t>
  </si>
  <si>
    <t>Inversión Total</t>
  </si>
  <si>
    <t>10.17.   EVOLUCIÓN DE INVERSIONES</t>
  </si>
  <si>
    <t>Cmg Promed</t>
  </si>
  <si>
    <t>Incremento 18/08</t>
  </si>
  <si>
    <t>Variación media 18/08</t>
  </si>
  <si>
    <t>18</t>
  </si>
  <si>
    <t>10.17.2  Inversiones ejecutadas por empresas privadas 1995 - 2018 (miles de US$)</t>
  </si>
  <si>
    <t>Orazul Energy Perú S.A.</t>
  </si>
  <si>
    <t>ABY TRANSMISIÓN SUR S.A. *</t>
  </si>
  <si>
    <r>
      <t xml:space="preserve">10.17.4  Inversiones ejecutadas por la Dirección General de Electrificación Rural </t>
    </r>
    <r>
      <rPr>
        <b/>
        <vertAlign val="superscript"/>
        <sz val="14"/>
        <rFont val="Arial"/>
        <family val="2"/>
      </rPr>
      <t>(*)</t>
    </r>
    <r>
      <rPr>
        <b/>
        <sz val="14"/>
        <rFont val="Arial"/>
        <family val="2"/>
      </rPr>
      <t xml:space="preserve"> : Período 1995 - 2018 (miles de US$)</t>
    </r>
  </si>
  <si>
    <t>Desde el año 2001 se interconectan los sistemas SICN y SIS para conformar el Sistema Eléctrico Interconectado Nacional - SEIN</t>
  </si>
  <si>
    <t>PERUANA DE INVERSIONES EN ENERGÍA RENOVABLES S.A.</t>
  </si>
  <si>
    <t>Costo marginal de corto plazo y tarifa en barra, 2006-2018 (US$ por MW.h).</t>
  </si>
  <si>
    <t>Incremento 19/18</t>
  </si>
  <si>
    <t>Variación media 19/14</t>
  </si>
  <si>
    <t>Incremento 19/09</t>
  </si>
  <si>
    <t>Variación media 19/09</t>
  </si>
  <si>
    <t>Variación media 19/18</t>
  </si>
  <si>
    <t>10.17.3  Inversiones ejecutadas por empresas estatales : Período 1995 - 2019 (miles de US$)</t>
  </si>
  <si>
    <t>10.17.5  Total de Inversiones ejecutadas 1995 - 2019 (millones US$)</t>
  </si>
  <si>
    <t xml:space="preserve">(10 - 19) </t>
  </si>
  <si>
    <t>Leyenda:
MAT: Muy Alta Tensión
AT: Alta Tensión
MT: Media Tensión
BT: Baja Tensión</t>
  </si>
  <si>
    <t>COBRA INSTALACIONES Y SERVICIOS S.A.</t>
  </si>
  <si>
    <t>TERNA PERU S.A.C.</t>
  </si>
  <si>
    <t>EMP.DE ADMIN. DE INFRAEST. ELECTRICA S.A </t>
  </si>
  <si>
    <t>EMPRESA DE DISTRIBUCION Y COMERCIALIZACION DE ELECTRICIDAD SAN RAMON S.A. ·</t>
  </si>
  <si>
    <t>Var. Media
Ene18 - Ene19</t>
  </si>
  <si>
    <t>Var. Media
Dic18 - Dic19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</si>
</sst>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 * #,##0.00_ ;_ * \-#,##0.00_ ;_ * &quot;-&quot;??_ ;_ @_ "/>
    <numFmt numFmtId="164" formatCode="_-* #,##0.00_-;\-* #,##0.00_-;_-* &quot;-&quot;??_-;_-@_-"/>
    <numFmt numFmtId="165" formatCode="0.0%"/>
    <numFmt numFmtId="166" formatCode="0.000%"/>
    <numFmt numFmtId="167" formatCode="#\ ##0.00"/>
    <numFmt numFmtId="168" formatCode="0.0"/>
    <numFmt numFmtId="169" formatCode="#,##0.0"/>
    <numFmt numFmtId="170" formatCode="0.000"/>
    <numFmt numFmtId="171" formatCode="0.0000"/>
    <numFmt numFmtId="172" formatCode="0.00000"/>
    <numFmt numFmtId="173" formatCode="_-[$€]* #,##0.00_-;\-[$€]* #,##0.00_-;_-[$€]* &quot;-&quot;??_-;_-@_-"/>
    <numFmt numFmtId="174" formatCode="#,##0.000"/>
    <numFmt numFmtId="175" formatCode="#\ ##0"/>
    <numFmt numFmtId="176" formatCode="#\ ##0.0"/>
    <numFmt numFmtId="177" formatCode="_ * #,##0.0_ ;_ * \-#,##0.0_ ;_ * &quot;-&quot;??_ ;_ @_ "/>
    <numFmt numFmtId="178" formatCode="_(* #,##0.000000_);_(* \(#,##0.000000\);_(* &quot;-&quot;??_);_(@_)"/>
    <numFmt numFmtId="179" formatCode="_-* #,##0\ _€_-;\-* #,##0\ _€_-;_-* &quot;-&quot;\ _€_-;_-@_-"/>
    <numFmt numFmtId="180" formatCode="#,##0.0000"/>
    <numFmt numFmtId="181" formatCode="_-* #,##0.0\ _€_-;\-* #,##0.0\ _€_-;_-* &quot;-&quot;\ _€_-;_-@_-"/>
  </numFmts>
  <fonts count="71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2"/>
      <color indexed="33"/>
      <name val="Arial"/>
      <family val="2"/>
    </font>
    <font>
      <b/>
      <sz val="10"/>
      <color indexed="3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Symbol"/>
      <family val="1"/>
      <charset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Tahoma"/>
      <family val="2"/>
    </font>
    <font>
      <b/>
      <vertAlign val="superscript"/>
      <sz val="14"/>
      <name val="Arial"/>
      <family val="2"/>
    </font>
    <font>
      <b/>
      <sz val="12"/>
      <name val="Tahoma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b/>
      <vertAlign val="superscript"/>
      <sz val="10"/>
      <color indexed="9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7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Tahoma"/>
      <family val="2"/>
    </font>
    <font>
      <sz val="10"/>
      <color rgb="FFFF0000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rgb="FF9F9F9F"/>
      <name val="Arial"/>
      <family val="2"/>
    </font>
    <font>
      <b/>
      <sz val="10"/>
      <color rgb="FF9F9F9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Tahoma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0"/>
      <color theme="1"/>
      <name val="Tahoma"/>
      <family val="2"/>
    </font>
    <font>
      <b/>
      <sz val="11"/>
      <color theme="0" tint="-0.249977111117893"/>
      <name val="Symbol"/>
      <family val="1"/>
      <charset val="2"/>
    </font>
    <font>
      <b/>
      <sz val="9"/>
      <color rgb="FF9F9F9F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1"/>
      <color rgb="FF9F9F9F"/>
      <name val="Arial"/>
      <family val="2"/>
    </font>
    <font>
      <b/>
      <sz val="12"/>
      <color rgb="FF9F9F9F"/>
      <name val="Arial"/>
      <family val="2"/>
    </font>
    <font>
      <sz val="8"/>
      <color rgb="FF9F9F9F"/>
      <name val="Arial"/>
      <family val="2"/>
    </font>
    <font>
      <b/>
      <i/>
      <sz val="11"/>
      <color rgb="FF9F9F9F"/>
      <name val="Arial"/>
      <family val="2"/>
    </font>
    <font>
      <sz val="9"/>
      <color rgb="FF9F9F9F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7"/>
      </patternFill>
    </fill>
    <fill>
      <patternFill patternType="solid">
        <fgColor indexed="47"/>
        <bgColor indexed="47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theme="0" tint="-0.14999847407452621"/>
        <bgColor indexed="47"/>
      </patternFill>
    </fill>
    <fill>
      <patternFill patternType="solid">
        <fgColor rgb="FF008080"/>
        <bgColor indexed="64"/>
      </patternFill>
    </fill>
    <fill>
      <patternFill patternType="solid">
        <fgColor rgb="FF3798AF"/>
        <bgColor indexed="64"/>
      </patternFill>
    </fill>
    <fill>
      <patternFill patternType="solid">
        <fgColor rgb="FF3693AC"/>
        <bgColor indexed="64"/>
      </patternFill>
    </fill>
    <fill>
      <patternFill patternType="solid">
        <fgColor theme="8" tint="0.79998168889431442"/>
        <bgColor indexed="64"/>
      </patternFill>
    </fill>
  </fills>
  <borders count="17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rgb="FF9F9F9F"/>
      </bottom>
      <diagonal/>
    </border>
    <border>
      <left/>
      <right/>
      <top style="double">
        <color rgb="FF9F9F9F"/>
      </top>
      <bottom/>
      <diagonal/>
    </border>
  </borders>
  <cellStyleXfs count="30">
    <xf numFmtId="0" fontId="0" fillId="0" borderId="0"/>
    <xf numFmtId="0" fontId="18" fillId="0" borderId="0"/>
    <xf numFmtId="0" fontId="5" fillId="0" borderId="0"/>
    <xf numFmtId="173" fontId="18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36" fillId="0" borderId="0"/>
    <xf numFmtId="0" fontId="5" fillId="0" borderId="0"/>
    <xf numFmtId="0" fontId="5" fillId="0" borderId="0"/>
    <xf numFmtId="0" fontId="45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3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8" fontId="0" fillId="0" borderId="0" xfId="0" applyNumberFormat="1"/>
    <xf numFmtId="0" fontId="0" fillId="0" borderId="0" xfId="0" applyFill="1"/>
    <xf numFmtId="0" fontId="0" fillId="0" borderId="0" xfId="0" applyBorder="1"/>
    <xf numFmtId="0" fontId="9" fillId="0" borderId="0" xfId="0" applyFont="1"/>
    <xf numFmtId="0" fontId="0" fillId="0" borderId="0" xfId="0" applyAlignment="1">
      <alignment vertical="center"/>
    </xf>
    <xf numFmtId="3" fontId="0" fillId="0" borderId="0" xfId="0" applyNumberFormat="1"/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horizontal="left"/>
    </xf>
    <xf numFmtId="169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169" fontId="0" fillId="0" borderId="1" xfId="0" applyNumberFormat="1" applyFill="1" applyBorder="1"/>
    <xf numFmtId="169" fontId="0" fillId="0" borderId="2" xfId="0" applyNumberFormat="1" applyFill="1" applyBorder="1"/>
    <xf numFmtId="0" fontId="0" fillId="0" borderId="3" xfId="0" applyFill="1" applyBorder="1" applyAlignment="1">
      <alignment horizontal="center"/>
    </xf>
    <xf numFmtId="169" fontId="4" fillId="0" borderId="4" xfId="0" applyNumberFormat="1" applyFont="1" applyFill="1" applyBorder="1"/>
    <xf numFmtId="2" fontId="0" fillId="0" borderId="0" xfId="0" applyNumberFormat="1"/>
    <xf numFmtId="0" fontId="19" fillId="0" borderId="0" xfId="0" applyFont="1"/>
    <xf numFmtId="169" fontId="0" fillId="0" borderId="4" xfId="0" applyNumberFormat="1" applyFill="1" applyBorder="1"/>
    <xf numFmtId="165" fontId="0" fillId="0" borderId="0" xfId="28" applyNumberFormat="1" applyFont="1" applyAlignment="1">
      <alignment horizontal="center"/>
    </xf>
    <xf numFmtId="165" fontId="0" fillId="0" borderId="0" xfId="28" applyNumberFormat="1" applyFont="1"/>
    <xf numFmtId="0" fontId="0" fillId="0" borderId="0" xfId="0" applyAlignment="1"/>
    <xf numFmtId="0" fontId="9" fillId="0" borderId="0" xfId="0" applyFont="1" applyBorder="1"/>
    <xf numFmtId="0" fontId="0" fillId="0" borderId="5" xfId="0" applyBorder="1"/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/>
    <xf numFmtId="0" fontId="4" fillId="0" borderId="6" xfId="0" applyFont="1" applyFill="1" applyBorder="1" applyAlignment="1">
      <alignment horizontal="center"/>
    </xf>
    <xf numFmtId="169" fontId="0" fillId="0" borderId="0" xfId="0" applyNumberFormat="1" applyAlignment="1">
      <alignment horizontal="right"/>
    </xf>
    <xf numFmtId="0" fontId="5" fillId="0" borderId="0" xfId="12"/>
    <xf numFmtId="0" fontId="2" fillId="0" borderId="0" xfId="12" applyFont="1" applyAlignment="1">
      <alignment horizontal="centerContinuous"/>
    </xf>
    <xf numFmtId="0" fontId="5" fillId="0" borderId="0" xfId="12" applyAlignment="1">
      <alignment horizontal="centerContinuous"/>
    </xf>
    <xf numFmtId="0" fontId="7" fillId="0" borderId="0" xfId="12" applyFont="1"/>
    <xf numFmtId="0" fontId="19" fillId="0" borderId="0" xfId="12" applyFont="1"/>
    <xf numFmtId="168" fontId="5" fillId="0" borderId="0" xfId="12" applyNumberFormat="1"/>
    <xf numFmtId="165" fontId="5" fillId="0" borderId="0" xfId="22" applyNumberFormat="1"/>
    <xf numFmtId="0" fontId="5" fillId="0" borderId="3" xfId="0" applyFont="1" applyFill="1" applyBorder="1" applyAlignment="1">
      <alignment horizontal="center"/>
    </xf>
    <xf numFmtId="0" fontId="5" fillId="2" borderId="7" xfId="12" applyFont="1" applyFill="1" applyBorder="1" applyAlignment="1">
      <alignment horizontal="center"/>
    </xf>
    <xf numFmtId="169" fontId="4" fillId="2" borderId="8" xfId="12" applyNumberFormat="1" applyFont="1" applyFill="1" applyBorder="1"/>
    <xf numFmtId="169" fontId="5" fillId="2" borderId="8" xfId="12" applyNumberFormat="1" applyFont="1" applyFill="1" applyBorder="1"/>
    <xf numFmtId="0" fontId="5" fillId="3" borderId="3" xfId="12" applyFont="1" applyFill="1" applyBorder="1" applyAlignment="1">
      <alignment horizontal="center"/>
    </xf>
    <xf numFmtId="169" fontId="4" fillId="3" borderId="4" xfId="12" applyNumberFormat="1" applyFont="1" applyFill="1" applyBorder="1"/>
    <xf numFmtId="169" fontId="5" fillId="3" borderId="4" xfId="12" applyNumberFormat="1" applyFont="1" applyFill="1" applyBorder="1"/>
    <xf numFmtId="169" fontId="5" fillId="3" borderId="1" xfId="12" applyNumberFormat="1" applyFont="1" applyFill="1" applyBorder="1"/>
    <xf numFmtId="0" fontId="5" fillId="0" borderId="0" xfId="12" applyBorder="1"/>
    <xf numFmtId="0" fontId="5" fillId="2" borderId="3" xfId="12" applyFont="1" applyFill="1" applyBorder="1" applyAlignment="1">
      <alignment horizontal="center"/>
    </xf>
    <xf numFmtId="168" fontId="5" fillId="4" borderId="0" xfId="12" applyNumberFormat="1" applyFill="1"/>
    <xf numFmtId="0" fontId="5" fillId="4" borderId="0" xfId="12" applyFill="1" applyBorder="1"/>
    <xf numFmtId="169" fontId="5" fillId="0" borderId="0" xfId="12" applyNumberFormat="1"/>
    <xf numFmtId="166" fontId="5" fillId="0" borderId="0" xfId="22" applyNumberFormat="1" applyFont="1"/>
    <xf numFmtId="0" fontId="22" fillId="0" borderId="0" xfId="12" applyFont="1"/>
    <xf numFmtId="0" fontId="15" fillId="3" borderId="9" xfId="0" applyFont="1" applyFill="1" applyBorder="1"/>
    <xf numFmtId="0" fontId="5" fillId="0" borderId="0" xfId="0" applyFont="1"/>
    <xf numFmtId="166" fontId="23" fillId="0" borderId="0" xfId="23" applyNumberFormat="1" applyFont="1"/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170" fontId="0" fillId="0" borderId="0" xfId="0" applyNumberFormat="1"/>
    <xf numFmtId="0" fontId="0" fillId="9" borderId="3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177" fontId="0" fillId="0" borderId="0" xfId="5" applyNumberFormat="1" applyFont="1"/>
    <xf numFmtId="177" fontId="5" fillId="0" borderId="0" xfId="5" applyNumberFormat="1" applyFont="1"/>
    <xf numFmtId="178" fontId="0" fillId="0" borderId="0" xfId="0" applyNumberFormat="1"/>
    <xf numFmtId="0" fontId="15" fillId="0" borderId="0" xfId="0" applyFont="1"/>
    <xf numFmtId="0" fontId="5" fillId="0" borderId="4" xfId="12" applyFont="1" applyFill="1" applyBorder="1" applyAlignment="1">
      <alignment horizontal="center"/>
    </xf>
    <xf numFmtId="0" fontId="5" fillId="10" borderId="0" xfId="11" applyFont="1" applyFill="1"/>
    <xf numFmtId="0" fontId="8" fillId="10" borderId="0" xfId="11" applyFont="1" applyFill="1"/>
    <xf numFmtId="0" fontId="5" fillId="10" borderId="0" xfId="11" applyFill="1"/>
    <xf numFmtId="0" fontId="5" fillId="0" borderId="0" xfId="11"/>
    <xf numFmtId="0" fontId="2" fillId="0" borderId="0" xfId="11" applyFont="1" applyBorder="1"/>
    <xf numFmtId="0" fontId="24" fillId="0" borderId="0" xfId="11" applyFont="1"/>
    <xf numFmtId="0" fontId="25" fillId="10" borderId="10" xfId="11" applyFont="1" applyFill="1" applyBorder="1" applyAlignment="1">
      <alignment horizontal="center"/>
    </xf>
    <xf numFmtId="0" fontId="25" fillId="10" borderId="11" xfId="11" applyFont="1" applyFill="1" applyBorder="1"/>
    <xf numFmtId="3" fontId="5" fillId="10" borderId="11" xfId="11" applyNumberFormat="1" applyFont="1" applyFill="1" applyBorder="1"/>
    <xf numFmtId="3" fontId="25" fillId="10" borderId="11" xfId="11" applyNumberFormat="1" applyFont="1" applyFill="1" applyBorder="1"/>
    <xf numFmtId="3" fontId="25" fillId="10" borderId="12" xfId="11" applyNumberFormat="1" applyFont="1" applyFill="1" applyBorder="1"/>
    <xf numFmtId="3" fontId="4" fillId="10" borderId="0" xfId="11" applyNumberFormat="1" applyFont="1" applyFill="1" applyBorder="1"/>
    <xf numFmtId="0" fontId="25" fillId="10" borderId="13" xfId="11" applyFont="1" applyFill="1" applyBorder="1" applyAlignment="1">
      <alignment horizontal="center"/>
    </xf>
    <xf numFmtId="0" fontId="25" fillId="10" borderId="14" xfId="11" applyFont="1" applyFill="1" applyBorder="1"/>
    <xf numFmtId="3" fontId="22" fillId="10" borderId="14" xfId="11" applyNumberFormat="1" applyFont="1" applyFill="1" applyBorder="1"/>
    <xf numFmtId="3" fontId="27" fillId="10" borderId="14" xfId="11" applyNumberFormat="1" applyFont="1" applyFill="1" applyBorder="1"/>
    <xf numFmtId="3" fontId="25" fillId="10" borderId="14" xfId="11" applyNumberFormat="1" applyFont="1" applyFill="1" applyBorder="1"/>
    <xf numFmtId="3" fontId="25" fillId="10" borderId="15" xfId="11" applyNumberFormat="1" applyFont="1" applyFill="1" applyBorder="1"/>
    <xf numFmtId="3" fontId="26" fillId="10" borderId="16" xfId="11" applyNumberFormat="1" applyFont="1" applyFill="1" applyBorder="1"/>
    <xf numFmtId="3" fontId="5" fillId="10" borderId="14" xfId="11" applyNumberFormat="1" applyFont="1" applyFill="1" applyBorder="1"/>
    <xf numFmtId="3" fontId="5" fillId="10" borderId="0" xfId="11" applyNumberFormat="1" applyFill="1" applyBorder="1"/>
    <xf numFmtId="0" fontId="5" fillId="10" borderId="0" xfId="11" applyFill="1" applyBorder="1"/>
    <xf numFmtId="0" fontId="47" fillId="10" borderId="0" xfId="11" applyFont="1" applyFill="1" applyBorder="1"/>
    <xf numFmtId="3" fontId="25" fillId="10" borderId="17" xfId="11" applyNumberFormat="1" applyFont="1" applyFill="1" applyBorder="1"/>
    <xf numFmtId="3" fontId="4" fillId="0" borderId="18" xfId="11" applyNumberFormat="1" applyFont="1" applyFill="1" applyBorder="1"/>
    <xf numFmtId="3" fontId="4" fillId="0" borderId="19" xfId="11" applyNumberFormat="1" applyFont="1" applyFill="1" applyBorder="1"/>
    <xf numFmtId="3" fontId="29" fillId="0" borderId="19" xfId="11" applyNumberFormat="1" applyFont="1" applyFill="1" applyBorder="1"/>
    <xf numFmtId="3" fontId="29" fillId="0" borderId="20" xfId="11" applyNumberFormat="1" applyFont="1" applyFill="1" applyBorder="1"/>
    <xf numFmtId="3" fontId="4" fillId="0" borderId="0" xfId="11" applyNumberFormat="1" applyFont="1" applyBorder="1"/>
    <xf numFmtId="3" fontId="5" fillId="0" borderId="0" xfId="11" applyNumberFormat="1" applyBorder="1"/>
    <xf numFmtId="0" fontId="5" fillId="0" borderId="0" xfId="11" applyBorder="1"/>
    <xf numFmtId="0" fontId="29" fillId="0" borderId="0" xfId="11" applyFont="1" applyFill="1" applyBorder="1" applyAlignment="1">
      <alignment horizontal="center"/>
    </xf>
    <xf numFmtId="3" fontId="4" fillId="0" borderId="0" xfId="11" applyNumberFormat="1" applyFont="1" applyFill="1" applyBorder="1"/>
    <xf numFmtId="3" fontId="29" fillId="0" borderId="0" xfId="11" applyNumberFormat="1" applyFont="1" applyFill="1" applyBorder="1"/>
    <xf numFmtId="3" fontId="26" fillId="0" borderId="0" xfId="11" applyNumberFormat="1" applyFont="1" applyFill="1" applyBorder="1"/>
    <xf numFmtId="3" fontId="22" fillId="10" borderId="11" xfId="11" applyNumberFormat="1" applyFont="1" applyFill="1" applyBorder="1"/>
    <xf numFmtId="3" fontId="27" fillId="10" borderId="11" xfId="11" applyNumberFormat="1" applyFont="1" applyFill="1" applyBorder="1"/>
    <xf numFmtId="0" fontId="25" fillId="10" borderId="21" xfId="11" applyFont="1" applyFill="1" applyBorder="1"/>
    <xf numFmtId="3" fontId="5" fillId="10" borderId="21" xfId="11" applyNumberFormat="1" applyFont="1" applyFill="1" applyBorder="1"/>
    <xf numFmtId="3" fontId="25" fillId="10" borderId="21" xfId="11" applyNumberFormat="1" applyFont="1" applyFill="1" applyBorder="1"/>
    <xf numFmtId="3" fontId="4" fillId="10" borderId="18" xfId="11" applyNumberFormat="1" applyFont="1" applyFill="1" applyBorder="1"/>
    <xf numFmtId="3" fontId="4" fillId="10" borderId="19" xfId="11" applyNumberFormat="1" applyFont="1" applyFill="1" applyBorder="1"/>
    <xf numFmtId="3" fontId="29" fillId="10" borderId="19" xfId="11" applyNumberFormat="1" applyFont="1" applyFill="1" applyBorder="1"/>
    <xf numFmtId="0" fontId="29" fillId="10" borderId="19" xfId="11" applyFont="1" applyFill="1" applyBorder="1"/>
    <xf numFmtId="3" fontId="29" fillId="10" borderId="20" xfId="11" applyNumberFormat="1" applyFont="1" applyFill="1" applyBorder="1"/>
    <xf numFmtId="3" fontId="29" fillId="10" borderId="22" xfId="11" applyNumberFormat="1" applyFont="1" applyFill="1" applyBorder="1"/>
    <xf numFmtId="0" fontId="29" fillId="10" borderId="0" xfId="11" applyFont="1" applyFill="1" applyBorder="1" applyAlignment="1">
      <alignment horizontal="center"/>
    </xf>
    <xf numFmtId="3" fontId="29" fillId="10" borderId="0" xfId="11" applyNumberFormat="1" applyFont="1" applyFill="1" applyBorder="1"/>
    <xf numFmtId="0" fontId="29" fillId="10" borderId="0" xfId="11" applyFont="1" applyFill="1" applyBorder="1"/>
    <xf numFmtId="3" fontId="26" fillId="10" borderId="0" xfId="11" applyNumberFormat="1" applyFont="1" applyFill="1" applyBorder="1"/>
    <xf numFmtId="0" fontId="25" fillId="10" borderId="14" xfId="11" applyFont="1" applyFill="1" applyBorder="1" applyAlignment="1">
      <alignment horizontal="left" vertical="center" wrapText="1"/>
    </xf>
    <xf numFmtId="3" fontId="5" fillId="10" borderId="0" xfId="11" applyNumberFormat="1" applyFill="1"/>
    <xf numFmtId="0" fontId="25" fillId="10" borderId="13" xfId="11" applyFont="1" applyFill="1" applyBorder="1" applyAlignment="1">
      <alignment horizontal="center" vertical="center" wrapText="1"/>
    </xf>
    <xf numFmtId="0" fontId="25" fillId="10" borderId="23" xfId="11" applyFont="1" applyFill="1" applyBorder="1" applyAlignment="1">
      <alignment horizontal="center" vertical="center" wrapText="1"/>
    </xf>
    <xf numFmtId="0" fontId="25" fillId="10" borderId="24" xfId="11" applyFont="1" applyFill="1" applyBorder="1" applyAlignment="1">
      <alignment horizontal="left" vertical="center" wrapText="1"/>
    </xf>
    <xf numFmtId="3" fontId="4" fillId="0" borderId="26" xfId="11" applyNumberFormat="1" applyFont="1" applyFill="1" applyBorder="1"/>
    <xf numFmtId="0" fontId="25" fillId="0" borderId="0" xfId="11" applyFont="1" applyBorder="1"/>
    <xf numFmtId="0" fontId="29" fillId="0" borderId="0" xfId="11" applyFont="1" applyBorder="1"/>
    <xf numFmtId="3" fontId="26" fillId="0" borderId="0" xfId="11" applyNumberFormat="1" applyFont="1" applyBorder="1"/>
    <xf numFmtId="3" fontId="26" fillId="0" borderId="19" xfId="11" applyNumberFormat="1" applyFont="1" applyFill="1" applyBorder="1"/>
    <xf numFmtId="3" fontId="26" fillId="0" borderId="20" xfId="11" applyNumberFormat="1" applyFont="1" applyFill="1" applyBorder="1"/>
    <xf numFmtId="0" fontId="30" fillId="0" borderId="0" xfId="11" applyFont="1"/>
    <xf numFmtId="0" fontId="5" fillId="0" borderId="0" xfId="11" applyFont="1"/>
    <xf numFmtId="9" fontId="4" fillId="0" borderId="0" xfId="22" applyNumberFormat="1" applyFont="1"/>
    <xf numFmtId="9" fontId="5" fillId="0" borderId="0" xfId="22" applyFont="1"/>
    <xf numFmtId="0" fontId="5" fillId="0" borderId="0" xfId="11" applyFont="1" applyBorder="1"/>
    <xf numFmtId="0" fontId="31" fillId="0" borderId="0" xfId="11" applyFont="1"/>
    <xf numFmtId="9" fontId="4" fillId="0" borderId="0" xfId="22" applyFont="1"/>
    <xf numFmtId="9" fontId="5" fillId="0" borderId="0" xfId="22"/>
    <xf numFmtId="0" fontId="9" fillId="0" borderId="0" xfId="11" applyFont="1" applyAlignment="1">
      <alignment horizontal="left"/>
    </xf>
    <xf numFmtId="0" fontId="25" fillId="10" borderId="27" xfId="11" applyFont="1" applyFill="1" applyBorder="1" applyAlignment="1">
      <alignment horizontal="center"/>
    </xf>
    <xf numFmtId="0" fontId="25" fillId="10" borderId="28" xfId="11" applyFont="1" applyFill="1" applyBorder="1"/>
    <xf numFmtId="3" fontId="25" fillId="10" borderId="28" xfId="11" applyNumberFormat="1" applyFont="1" applyFill="1" applyBorder="1"/>
    <xf numFmtId="3" fontId="25" fillId="10" borderId="29" xfId="11" applyNumberFormat="1" applyFont="1" applyFill="1" applyBorder="1"/>
    <xf numFmtId="3" fontId="25" fillId="10" borderId="30" xfId="11" applyNumberFormat="1" applyFont="1" applyFill="1" applyBorder="1"/>
    <xf numFmtId="0" fontId="25" fillId="10" borderId="31" xfId="11" applyFont="1" applyFill="1" applyBorder="1" applyAlignment="1">
      <alignment horizontal="center"/>
    </xf>
    <xf numFmtId="0" fontId="25" fillId="10" borderId="32" xfId="11" applyFont="1" applyFill="1" applyBorder="1"/>
    <xf numFmtId="3" fontId="25" fillId="10" borderId="32" xfId="11" applyNumberFormat="1" applyFont="1" applyFill="1" applyBorder="1"/>
    <xf numFmtId="0" fontId="25" fillId="10" borderId="33" xfId="11" applyFont="1" applyFill="1" applyBorder="1"/>
    <xf numFmtId="0" fontId="25" fillId="10" borderId="34" xfId="11" applyFont="1" applyFill="1" applyBorder="1"/>
    <xf numFmtId="3" fontId="25" fillId="10" borderId="33" xfId="11" applyNumberFormat="1" applyFont="1" applyFill="1" applyBorder="1"/>
    <xf numFmtId="3" fontId="25" fillId="10" borderId="34" xfId="11" applyNumberFormat="1" applyFont="1" applyFill="1" applyBorder="1"/>
    <xf numFmtId="0" fontId="25" fillId="10" borderId="35" xfId="11" applyFont="1" applyFill="1" applyBorder="1" applyAlignment="1">
      <alignment horizontal="center"/>
    </xf>
    <xf numFmtId="0" fontId="25" fillId="10" borderId="36" xfId="11" applyFont="1" applyFill="1" applyBorder="1"/>
    <xf numFmtId="3" fontId="25" fillId="10" borderId="36" xfId="11" applyNumberFormat="1" applyFont="1" applyFill="1" applyBorder="1"/>
    <xf numFmtId="3" fontId="25" fillId="10" borderId="37" xfId="11" applyNumberFormat="1" applyFont="1" applyFill="1" applyBorder="1"/>
    <xf numFmtId="3" fontId="25" fillId="10" borderId="38" xfId="11" applyNumberFormat="1" applyFont="1" applyFill="1" applyBorder="1"/>
    <xf numFmtId="3" fontId="27" fillId="10" borderId="28" xfId="11" applyNumberFormat="1" applyFont="1" applyFill="1" applyBorder="1"/>
    <xf numFmtId="3" fontId="27" fillId="10" borderId="30" xfId="11" applyNumberFormat="1" applyFont="1" applyFill="1" applyBorder="1"/>
    <xf numFmtId="3" fontId="27" fillId="10" borderId="29" xfId="11" applyNumberFormat="1" applyFont="1" applyFill="1" applyBorder="1"/>
    <xf numFmtId="3" fontId="27" fillId="10" borderId="32" xfId="11" applyNumberFormat="1" applyFont="1" applyFill="1" applyBorder="1"/>
    <xf numFmtId="3" fontId="27" fillId="10" borderId="33" xfId="11" applyNumberFormat="1" applyFont="1" applyFill="1" applyBorder="1"/>
    <xf numFmtId="3" fontId="27" fillId="10" borderId="34" xfId="11" applyNumberFormat="1" applyFont="1" applyFill="1" applyBorder="1"/>
    <xf numFmtId="0" fontId="25" fillId="10" borderId="39" xfId="11" applyFont="1" applyFill="1" applyBorder="1"/>
    <xf numFmtId="0" fontId="25" fillId="10" borderId="5" xfId="11" applyFont="1" applyFill="1" applyBorder="1"/>
    <xf numFmtId="174" fontId="25" fillId="10" borderId="32" xfId="11" applyNumberFormat="1" applyFont="1" applyFill="1" applyBorder="1"/>
    <xf numFmtId="3" fontId="32" fillId="10" borderId="32" xfId="11" applyNumberFormat="1" applyFont="1" applyFill="1" applyBorder="1"/>
    <xf numFmtId="3" fontId="32" fillId="10" borderId="33" xfId="11" applyNumberFormat="1" applyFont="1" applyFill="1" applyBorder="1"/>
    <xf numFmtId="3" fontId="32" fillId="10" borderId="34" xfId="11" applyNumberFormat="1" applyFont="1" applyFill="1" applyBorder="1"/>
    <xf numFmtId="3" fontId="25" fillId="10" borderId="34" xfId="11" applyNumberFormat="1" applyFont="1" applyFill="1" applyBorder="1" applyAlignment="1">
      <alignment horizontal="center"/>
    </xf>
    <xf numFmtId="3" fontId="5" fillId="0" borderId="0" xfId="11" applyNumberFormat="1"/>
    <xf numFmtId="0" fontId="25" fillId="0" borderId="0" xfId="11" applyFont="1" applyFill="1" applyBorder="1" applyAlignment="1">
      <alignment horizontal="left"/>
    </xf>
    <xf numFmtId="3" fontId="4" fillId="0" borderId="20" xfId="11" applyNumberFormat="1" applyFont="1" applyFill="1" applyBorder="1"/>
    <xf numFmtId="3" fontId="4" fillId="0" borderId="40" xfId="11" applyNumberFormat="1" applyFont="1" applyFill="1" applyBorder="1"/>
    <xf numFmtId="0" fontId="25" fillId="0" borderId="0" xfId="11" applyFont="1" applyFill="1" applyBorder="1" applyAlignment="1">
      <alignment horizontal="center"/>
    </xf>
    <xf numFmtId="0" fontId="34" fillId="0" borderId="0" xfId="11" applyFont="1" applyFill="1" applyBorder="1"/>
    <xf numFmtId="3" fontId="48" fillId="0" borderId="0" xfId="11" applyNumberFormat="1" applyFont="1" applyBorder="1"/>
    <xf numFmtId="0" fontId="49" fillId="0" borderId="0" xfId="11" applyFont="1"/>
    <xf numFmtId="0" fontId="5" fillId="0" borderId="0" xfId="11" applyFill="1" applyBorder="1"/>
    <xf numFmtId="3" fontId="49" fillId="0" borderId="0" xfId="11" applyNumberFormat="1" applyFont="1" applyBorder="1"/>
    <xf numFmtId="0" fontId="35" fillId="0" borderId="0" xfId="11" applyFont="1" applyBorder="1"/>
    <xf numFmtId="3" fontId="49" fillId="0" borderId="0" xfId="11" applyNumberFormat="1" applyFont="1"/>
    <xf numFmtId="0" fontId="4" fillId="0" borderId="0" xfId="11" applyFont="1" applyBorder="1"/>
    <xf numFmtId="0" fontId="49" fillId="0" borderId="0" xfId="11" applyFont="1" applyBorder="1"/>
    <xf numFmtId="0" fontId="12" fillId="0" borderId="0" xfId="11" applyFont="1" applyAlignment="1">
      <alignment horizontal="left"/>
    </xf>
    <xf numFmtId="0" fontId="3" fillId="10" borderId="0" xfId="11" applyFont="1" applyFill="1" applyBorder="1" applyAlignment="1">
      <alignment horizontal="center"/>
    </xf>
    <xf numFmtId="3" fontId="4" fillId="0" borderId="14" xfId="11" applyNumberFormat="1" applyFont="1" applyFill="1" applyBorder="1"/>
    <xf numFmtId="0" fontId="4" fillId="0" borderId="14" xfId="11" applyFont="1" applyFill="1" applyBorder="1"/>
    <xf numFmtId="0" fontId="4" fillId="0" borderId="41" xfId="11" applyFont="1" applyBorder="1"/>
    <xf numFmtId="179" fontId="5" fillId="0" borderId="41" xfId="11" applyNumberFormat="1" applyBorder="1"/>
    <xf numFmtId="179" fontId="4" fillId="0" borderId="41" xfId="11" applyNumberFormat="1" applyFont="1" applyBorder="1" applyAlignment="1">
      <alignment horizontal="center"/>
    </xf>
    <xf numFmtId="179" fontId="5" fillId="0" borderId="0" xfId="11" applyNumberFormat="1" applyBorder="1"/>
    <xf numFmtId="179" fontId="4" fillId="0" borderId="0" xfId="11" applyNumberFormat="1" applyFont="1" applyBorder="1" applyAlignment="1">
      <alignment horizontal="center"/>
    </xf>
    <xf numFmtId="0" fontId="12" fillId="10" borderId="0" xfId="11" applyFont="1" applyFill="1" applyBorder="1" applyAlignment="1">
      <alignment horizontal="left"/>
    </xf>
    <xf numFmtId="0" fontId="3" fillId="10" borderId="0" xfId="11" applyFont="1" applyFill="1" applyBorder="1"/>
    <xf numFmtId="169" fontId="4" fillId="0" borderId="0" xfId="0" applyNumberFormat="1" applyFont="1" applyFill="1" applyBorder="1"/>
    <xf numFmtId="3" fontId="29" fillId="0" borderId="42" xfId="11" applyNumberFormat="1" applyFont="1" applyFill="1" applyBorder="1"/>
    <xf numFmtId="0" fontId="5" fillId="0" borderId="0" xfId="12" applyFont="1"/>
    <xf numFmtId="168" fontId="5" fillId="0" borderId="0" xfId="12" applyNumberFormat="1" applyFont="1"/>
    <xf numFmtId="0" fontId="5" fillId="0" borderId="0" xfId="12" applyFont="1" applyFill="1" applyBorder="1"/>
    <xf numFmtId="0" fontId="5" fillId="0" borderId="0" xfId="12" applyFont="1" applyFill="1"/>
    <xf numFmtId="0" fontId="4" fillId="0" borderId="0" xfId="12" applyFont="1"/>
    <xf numFmtId="0" fontId="31" fillId="0" borderId="0" xfId="12" applyFont="1"/>
    <xf numFmtId="169" fontId="0" fillId="0" borderId="37" xfId="0" applyNumberFormat="1" applyFill="1" applyBorder="1"/>
    <xf numFmtId="169" fontId="0" fillId="0" borderId="36" xfId="0" applyNumberFormat="1" applyFill="1" applyBorder="1"/>
    <xf numFmtId="168" fontId="0" fillId="0" borderId="36" xfId="0" applyNumberFormat="1" applyFill="1" applyBorder="1"/>
    <xf numFmtId="0" fontId="9" fillId="0" borderId="0" xfId="11" applyFont="1"/>
    <xf numFmtId="0" fontId="10" fillId="0" borderId="0" xfId="11" applyFont="1"/>
    <xf numFmtId="0" fontId="2" fillId="0" borderId="0" xfId="11" applyFont="1" applyAlignment="1">
      <alignment horizontal="centerContinuous"/>
    </xf>
    <xf numFmtId="0" fontId="5" fillId="0" borderId="0" xfId="11" applyAlignment="1">
      <alignment horizontal="centerContinuous"/>
    </xf>
    <xf numFmtId="0" fontId="50" fillId="0" borderId="0" xfId="11" applyFont="1" applyBorder="1"/>
    <xf numFmtId="0" fontId="5" fillId="0" borderId="0" xfId="11" applyFill="1"/>
    <xf numFmtId="0" fontId="5" fillId="6" borderId="8" xfId="11" applyFill="1" applyBorder="1" applyAlignment="1">
      <alignment horizontal="center"/>
    </xf>
    <xf numFmtId="169" fontId="5" fillId="6" borderId="43" xfId="11" applyNumberFormat="1" applyFill="1" applyBorder="1" applyAlignment="1">
      <alignment horizontal="center"/>
    </xf>
    <xf numFmtId="169" fontId="5" fillId="6" borderId="44" xfId="11" applyNumberFormat="1" applyFill="1" applyBorder="1" applyAlignment="1">
      <alignment horizontal="center"/>
    </xf>
    <xf numFmtId="169" fontId="5" fillId="6" borderId="21" xfId="11" applyNumberFormat="1" applyFill="1" applyBorder="1"/>
    <xf numFmtId="169" fontId="5" fillId="6" borderId="45" xfId="11" applyNumberFormat="1" applyFill="1" applyBorder="1"/>
    <xf numFmtId="168" fontId="5" fillId="2" borderId="46" xfId="11" applyNumberFormat="1" applyFont="1" applyFill="1" applyBorder="1"/>
    <xf numFmtId="0" fontId="5" fillId="7" borderId="4" xfId="11" applyFill="1" applyBorder="1" applyAlignment="1">
      <alignment horizontal="center"/>
    </xf>
    <xf numFmtId="169" fontId="5" fillId="7" borderId="47" xfId="11" applyNumberFormat="1" applyFill="1" applyBorder="1" applyAlignment="1">
      <alignment horizontal="center"/>
    </xf>
    <xf numFmtId="169" fontId="5" fillId="7" borderId="48" xfId="11" applyNumberFormat="1" applyFill="1" applyBorder="1" applyAlignment="1">
      <alignment horizontal="center"/>
    </xf>
    <xf numFmtId="169" fontId="5" fillId="7" borderId="2" xfId="11" applyNumberFormat="1" applyFill="1" applyBorder="1"/>
    <xf numFmtId="169" fontId="5" fillId="7" borderId="49" xfId="11" applyNumberFormat="1" applyFill="1" applyBorder="1"/>
    <xf numFmtId="168" fontId="5" fillId="3" borderId="46" xfId="11" applyNumberFormat="1" applyFont="1" applyFill="1" applyBorder="1"/>
    <xf numFmtId="0" fontId="5" fillId="6" borderId="4" xfId="11" applyFill="1" applyBorder="1" applyAlignment="1">
      <alignment horizontal="center"/>
    </xf>
    <xf numFmtId="169" fontId="5" fillId="6" borderId="47" xfId="11" applyNumberFormat="1" applyFill="1" applyBorder="1" applyAlignment="1">
      <alignment horizontal="center"/>
    </xf>
    <xf numFmtId="169" fontId="5" fillId="6" borderId="48" xfId="11" applyNumberFormat="1" applyFill="1" applyBorder="1" applyAlignment="1">
      <alignment horizontal="center"/>
    </xf>
    <xf numFmtId="169" fontId="5" fillId="6" borderId="2" xfId="11" applyNumberFormat="1" applyFill="1" applyBorder="1"/>
    <xf numFmtId="169" fontId="5" fillId="6" borderId="49" xfId="11" applyNumberFormat="1" applyFill="1" applyBorder="1"/>
    <xf numFmtId="168" fontId="5" fillId="6" borderId="2" xfId="11" applyNumberFormat="1" applyFill="1" applyBorder="1"/>
    <xf numFmtId="0" fontId="5" fillId="7" borderId="4" xfId="11" applyFont="1" applyFill="1" applyBorder="1" applyAlignment="1">
      <alignment horizontal="center"/>
    </xf>
    <xf numFmtId="168" fontId="5" fillId="7" borderId="2" xfId="11" applyNumberFormat="1" applyFill="1" applyBorder="1"/>
    <xf numFmtId="0" fontId="5" fillId="3" borderId="4" xfId="11" applyFill="1" applyBorder="1" applyAlignment="1">
      <alignment horizontal="center"/>
    </xf>
    <xf numFmtId="169" fontId="5" fillId="3" borderId="2" xfId="11" applyNumberFormat="1" applyFill="1" applyBorder="1"/>
    <xf numFmtId="168" fontId="5" fillId="3" borderId="2" xfId="11" applyNumberFormat="1" applyFill="1" applyBorder="1"/>
    <xf numFmtId="0" fontId="4" fillId="0" borderId="0" xfId="11" applyFont="1"/>
    <xf numFmtId="0" fontId="51" fillId="0" borderId="0" xfId="11" applyFont="1" applyBorder="1"/>
    <xf numFmtId="0" fontId="5" fillId="6" borderId="4" xfId="11" applyFont="1" applyFill="1" applyBorder="1" applyAlignment="1">
      <alignment horizontal="center"/>
    </xf>
    <xf numFmtId="0" fontId="5" fillId="2" borderId="50" xfId="11" applyFill="1" applyBorder="1" applyAlignment="1">
      <alignment horizontal="center"/>
    </xf>
    <xf numFmtId="169" fontId="5" fillId="6" borderId="51" xfId="11" applyNumberFormat="1" applyFill="1" applyBorder="1" applyAlignment="1">
      <alignment horizontal="center"/>
    </xf>
    <xf numFmtId="169" fontId="5" fillId="6" borderId="52" xfId="11" applyNumberFormat="1" applyFill="1" applyBorder="1" applyAlignment="1">
      <alignment horizontal="center"/>
    </xf>
    <xf numFmtId="169" fontId="5" fillId="6" borderId="36" xfId="11" applyNumberFormat="1" applyFill="1" applyBorder="1"/>
    <xf numFmtId="169" fontId="5" fillId="6" borderId="35" xfId="11" applyNumberFormat="1" applyFill="1" applyBorder="1"/>
    <xf numFmtId="169" fontId="5" fillId="2" borderId="36" xfId="11" applyNumberFormat="1" applyFill="1" applyBorder="1"/>
    <xf numFmtId="168" fontId="5" fillId="2" borderId="36" xfId="11" applyNumberFormat="1" applyFill="1" applyBorder="1"/>
    <xf numFmtId="168" fontId="5" fillId="2" borderId="53" xfId="11" applyNumberFormat="1" applyFont="1" applyFill="1" applyBorder="1"/>
    <xf numFmtId="0" fontId="8" fillId="0" borderId="0" xfId="11" quotePrefix="1" applyFont="1"/>
    <xf numFmtId="0" fontId="8" fillId="0" borderId="0" xfId="11" applyFont="1"/>
    <xf numFmtId="0" fontId="38" fillId="0" borderId="0" xfId="11" applyFont="1"/>
    <xf numFmtId="0" fontId="22" fillId="0" borderId="0" xfId="11" applyFont="1"/>
    <xf numFmtId="0" fontId="52" fillId="0" borderId="0" xfId="11" applyFont="1"/>
    <xf numFmtId="0" fontId="52" fillId="0" borderId="0" xfId="11" applyFont="1" applyBorder="1"/>
    <xf numFmtId="0" fontId="52" fillId="2" borderId="0" xfId="11" applyFont="1" applyFill="1" applyBorder="1" applyAlignment="1">
      <alignment vertical="center"/>
    </xf>
    <xf numFmtId="168" fontId="52" fillId="0" borderId="0" xfId="11" applyNumberFormat="1" applyFont="1"/>
    <xf numFmtId="168" fontId="52" fillId="2" borderId="0" xfId="11" applyNumberFormat="1" applyFont="1" applyFill="1"/>
    <xf numFmtId="0" fontId="52" fillId="10" borderId="0" xfId="11" applyFont="1" applyFill="1"/>
    <xf numFmtId="0" fontId="53" fillId="0" borderId="0" xfId="11" applyFont="1"/>
    <xf numFmtId="0" fontId="53" fillId="0" borderId="0" xfId="11" applyFont="1" applyBorder="1"/>
    <xf numFmtId="3" fontId="0" fillId="2" borderId="3" xfId="0" applyNumberFormat="1" applyFill="1" applyBorder="1" applyAlignment="1">
      <alignment horizontal="center"/>
    </xf>
    <xf numFmtId="169" fontId="4" fillId="2" borderId="54" xfId="0" applyNumberFormat="1" applyFont="1" applyFill="1" applyBorder="1"/>
    <xf numFmtId="169" fontId="0" fillId="2" borderId="54" xfId="0" applyNumberFormat="1" applyFill="1" applyBorder="1"/>
    <xf numFmtId="169" fontId="0" fillId="2" borderId="1" xfId="0" applyNumberFormat="1" applyFill="1" applyBorder="1"/>
    <xf numFmtId="168" fontId="0" fillId="2" borderId="2" xfId="0" quotePrefix="1" applyNumberFormat="1" applyFill="1" applyBorder="1" applyAlignment="1">
      <alignment horizontal="center"/>
    </xf>
    <xf numFmtId="169" fontId="0" fillId="2" borderId="0" xfId="0" applyNumberFormat="1" applyFill="1" applyBorder="1"/>
    <xf numFmtId="168" fontId="0" fillId="2" borderId="1" xfId="0" applyNumberFormat="1" applyFill="1" applyBorder="1"/>
    <xf numFmtId="175" fontId="0" fillId="3" borderId="3" xfId="0" applyNumberFormat="1" applyFill="1" applyBorder="1" applyAlignment="1">
      <alignment horizontal="center"/>
    </xf>
    <xf numFmtId="175" fontId="0" fillId="2" borderId="3" xfId="0" applyNumberFormat="1" applyFill="1" applyBorder="1" applyAlignment="1">
      <alignment horizontal="center"/>
    </xf>
    <xf numFmtId="175" fontId="0" fillId="0" borderId="3" xfId="0" applyNumberFormat="1" applyFill="1" applyBorder="1" applyAlignment="1">
      <alignment horizontal="center"/>
    </xf>
    <xf numFmtId="175" fontId="0" fillId="9" borderId="3" xfId="0" applyNumberFormat="1" applyFill="1" applyBorder="1" applyAlignment="1">
      <alignment horizontal="center"/>
    </xf>
    <xf numFmtId="0" fontId="15" fillId="0" borderId="55" xfId="0" applyFont="1" applyFill="1" applyBorder="1"/>
    <xf numFmtId="0" fontId="15" fillId="3" borderId="55" xfId="0" applyFont="1" applyFill="1" applyBorder="1"/>
    <xf numFmtId="0" fontId="15" fillId="0" borderId="56" xfId="0" applyFont="1" applyFill="1" applyBorder="1"/>
    <xf numFmtId="0" fontId="7" fillId="0" borderId="0" xfId="0" applyFont="1"/>
    <xf numFmtId="0" fontId="5" fillId="0" borderId="0" xfId="11" applyBorder="1" applyAlignment="1">
      <alignment horizontal="centerContinuous"/>
    </xf>
    <xf numFmtId="3" fontId="5" fillId="2" borderId="3" xfId="11" applyNumberFormat="1" applyFill="1" applyBorder="1" applyAlignment="1">
      <alignment horizontal="center"/>
    </xf>
    <xf numFmtId="169" fontId="4" fillId="2" borderId="54" xfId="11" applyNumberFormat="1" applyFont="1" applyFill="1" applyBorder="1"/>
    <xf numFmtId="169" fontId="5" fillId="2" borderId="54" xfId="11" applyNumberFormat="1" applyFill="1" applyBorder="1"/>
    <xf numFmtId="169" fontId="5" fillId="2" borderId="1" xfId="11" applyNumberFormat="1" applyFill="1" applyBorder="1"/>
    <xf numFmtId="168" fontId="5" fillId="2" borderId="2" xfId="11" quotePrefix="1" applyNumberFormat="1" applyFill="1" applyBorder="1" applyAlignment="1">
      <alignment horizontal="center"/>
    </xf>
    <xf numFmtId="169" fontId="5" fillId="2" borderId="0" xfId="11" applyNumberFormat="1" applyFill="1" applyBorder="1"/>
    <xf numFmtId="168" fontId="5" fillId="2" borderId="1" xfId="11" applyNumberFormat="1" applyFill="1" applyBorder="1"/>
    <xf numFmtId="169" fontId="5" fillId="2" borderId="46" xfId="11" applyNumberFormat="1" applyFont="1" applyFill="1" applyBorder="1"/>
    <xf numFmtId="175" fontId="5" fillId="3" borderId="3" xfId="11" applyNumberFormat="1" applyFill="1" applyBorder="1" applyAlignment="1">
      <alignment horizontal="center"/>
    </xf>
    <xf numFmtId="175" fontId="5" fillId="2" borderId="3" xfId="11" applyNumberFormat="1" applyFill="1" applyBorder="1" applyAlignment="1">
      <alignment horizontal="center"/>
    </xf>
    <xf numFmtId="0" fontId="5" fillId="0" borderId="0" xfId="11" applyAlignment="1">
      <alignment horizontal="right"/>
    </xf>
    <xf numFmtId="175" fontId="5" fillId="3" borderId="3" xfId="11" applyNumberFormat="1" applyFont="1" applyFill="1" applyBorder="1" applyAlignment="1">
      <alignment horizontal="center"/>
    </xf>
    <xf numFmtId="175" fontId="5" fillId="0" borderId="3" xfId="11" applyNumberFormat="1" applyFill="1" applyBorder="1" applyAlignment="1">
      <alignment horizontal="center"/>
    </xf>
    <xf numFmtId="175" fontId="5" fillId="9" borderId="3" xfId="11" applyNumberFormat="1" applyFont="1" applyFill="1" applyBorder="1" applyAlignment="1">
      <alignment horizontal="center"/>
    </xf>
    <xf numFmtId="176" fontId="5" fillId="0" borderId="36" xfId="11" applyNumberFormat="1" applyFill="1" applyBorder="1"/>
    <xf numFmtId="0" fontId="4" fillId="0" borderId="0" xfId="11" applyFont="1" applyFill="1" applyBorder="1" applyAlignment="1">
      <alignment horizontal="center"/>
    </xf>
    <xf numFmtId="175" fontId="5" fillId="2" borderId="3" xfId="11" applyNumberFormat="1" applyFill="1" applyBorder="1" applyAlignment="1" applyProtection="1">
      <alignment horizontal="center"/>
      <protection locked="0"/>
    </xf>
    <xf numFmtId="169" fontId="4" fillId="2" borderId="0" xfId="11" applyNumberFormat="1" applyFont="1" applyFill="1" applyBorder="1" applyProtection="1">
      <protection locked="0"/>
    </xf>
    <xf numFmtId="169" fontId="5" fillId="2" borderId="1" xfId="11" applyNumberFormat="1" applyFill="1" applyBorder="1" applyProtection="1">
      <protection locked="0"/>
    </xf>
    <xf numFmtId="169" fontId="5" fillId="2" borderId="2" xfId="11" applyNumberFormat="1" applyFill="1" applyBorder="1" applyProtection="1">
      <protection locked="0"/>
    </xf>
    <xf numFmtId="169" fontId="5" fillId="2" borderId="54" xfId="11" applyNumberFormat="1" applyFill="1" applyBorder="1" applyProtection="1">
      <protection locked="0"/>
    </xf>
    <xf numFmtId="168" fontId="5" fillId="2" borderId="54" xfId="11" quotePrefix="1" applyNumberFormat="1" applyFill="1" applyBorder="1" applyAlignment="1" applyProtection="1">
      <alignment horizontal="center"/>
      <protection locked="0"/>
    </xf>
    <xf numFmtId="169" fontId="5" fillId="2" borderId="0" xfId="11" applyNumberFormat="1" applyFill="1" applyBorder="1" applyProtection="1">
      <protection locked="0"/>
    </xf>
    <xf numFmtId="175" fontId="5" fillId="9" borderId="3" xfId="11" applyNumberFormat="1" applyFill="1" applyBorder="1" applyAlignment="1" applyProtection="1">
      <alignment horizontal="center"/>
      <protection locked="0"/>
    </xf>
    <xf numFmtId="168" fontId="5" fillId="0" borderId="0" xfId="11" applyNumberFormat="1" applyFill="1" applyBorder="1" applyAlignment="1">
      <alignment horizontal="center"/>
    </xf>
    <xf numFmtId="165" fontId="6" fillId="0" borderId="0" xfId="21" applyNumberFormat="1" applyFont="1" applyFill="1" applyBorder="1" applyAlignment="1">
      <alignment horizontal="center"/>
    </xf>
    <xf numFmtId="175" fontId="5" fillId="9" borderId="3" xfId="11" applyNumberFormat="1" applyFill="1" applyBorder="1" applyAlignment="1">
      <alignment horizontal="center"/>
    </xf>
    <xf numFmtId="175" fontId="5" fillId="2" borderId="3" xfId="11" applyNumberFormat="1" applyFont="1" applyFill="1" applyBorder="1" applyAlignment="1">
      <alignment horizontal="center"/>
    </xf>
    <xf numFmtId="175" fontId="5" fillId="0" borderId="3" xfId="11" applyNumberFormat="1" applyFont="1" applyFill="1" applyBorder="1" applyAlignment="1">
      <alignment horizontal="center"/>
    </xf>
    <xf numFmtId="169" fontId="4" fillId="0" borderId="0" xfId="11" applyNumberFormat="1" applyFont="1" applyFill="1" applyBorder="1" applyProtection="1">
      <protection locked="0"/>
    </xf>
    <xf numFmtId="169" fontId="5" fillId="0" borderId="1" xfId="11" applyNumberFormat="1" applyFill="1" applyBorder="1" applyProtection="1">
      <protection locked="0"/>
    </xf>
    <xf numFmtId="168" fontId="5" fillId="0" borderId="2" xfId="11" applyNumberFormat="1" applyFill="1" applyBorder="1" applyProtection="1">
      <protection locked="0"/>
    </xf>
    <xf numFmtId="169" fontId="5" fillId="0" borderId="54" xfId="11" applyNumberFormat="1" applyFill="1" applyBorder="1" applyProtection="1">
      <protection locked="0"/>
    </xf>
    <xf numFmtId="169" fontId="5" fillId="0" borderId="2" xfId="11" applyNumberFormat="1" applyFill="1" applyBorder="1"/>
    <xf numFmtId="168" fontId="5" fillId="0" borderId="2" xfId="11" applyNumberFormat="1" applyFill="1" applyBorder="1"/>
    <xf numFmtId="169" fontId="5" fillId="0" borderId="0" xfId="11" applyNumberFormat="1" applyFill="1" applyBorder="1"/>
    <xf numFmtId="169" fontId="5" fillId="0" borderId="1" xfId="11" applyNumberFormat="1" applyFill="1" applyBorder="1"/>
    <xf numFmtId="0" fontId="5" fillId="4" borderId="0" xfId="11" applyFill="1"/>
    <xf numFmtId="168" fontId="5" fillId="0" borderId="0" xfId="11" applyNumberFormat="1"/>
    <xf numFmtId="9" fontId="6" fillId="2" borderId="0" xfId="21" applyNumberFormat="1" applyFont="1" applyFill="1" applyBorder="1" applyAlignment="1">
      <alignment horizontal="center"/>
    </xf>
    <xf numFmtId="9" fontId="5" fillId="2" borderId="0" xfId="11" applyNumberFormat="1" applyFill="1"/>
    <xf numFmtId="0" fontId="15" fillId="2" borderId="0" xfId="11" applyFont="1" applyFill="1" applyBorder="1"/>
    <xf numFmtId="0" fontId="4" fillId="0" borderId="0" xfId="11" applyFont="1" applyFill="1" applyBorder="1"/>
    <xf numFmtId="0" fontId="5" fillId="2" borderId="7" xfId="11" applyFill="1" applyBorder="1" applyAlignment="1">
      <alignment horizontal="center"/>
    </xf>
    <xf numFmtId="3" fontId="4" fillId="2" borderId="8" xfId="11" applyNumberFormat="1" applyFont="1" applyFill="1" applyBorder="1" applyAlignment="1">
      <alignment horizontal="center"/>
    </xf>
    <xf numFmtId="0" fontId="5" fillId="3" borderId="3" xfId="11" applyFill="1" applyBorder="1" applyAlignment="1">
      <alignment horizontal="center"/>
    </xf>
    <xf numFmtId="0" fontId="5" fillId="2" borderId="3" xfId="11" applyFill="1" applyBorder="1" applyAlignment="1">
      <alignment horizontal="center"/>
    </xf>
    <xf numFmtId="0" fontId="5" fillId="2" borderId="3" xfId="11" applyFont="1" applyFill="1" applyBorder="1" applyAlignment="1">
      <alignment horizontal="center"/>
    </xf>
    <xf numFmtId="0" fontId="5" fillId="0" borderId="6" xfId="11" applyFill="1" applyBorder="1" applyAlignment="1">
      <alignment horizontal="center"/>
    </xf>
    <xf numFmtId="3" fontId="4" fillId="0" borderId="50" xfId="11" applyNumberFormat="1" applyFont="1" applyFill="1" applyBorder="1" applyAlignment="1">
      <alignment horizontal="center"/>
    </xf>
    <xf numFmtId="3" fontId="5" fillId="0" borderId="36" xfId="11" applyNumberFormat="1" applyFill="1" applyBorder="1" applyAlignment="1">
      <alignment horizontal="center"/>
    </xf>
    <xf numFmtId="3" fontId="5" fillId="0" borderId="53" xfId="11" applyNumberFormat="1" applyFill="1" applyBorder="1" applyAlignment="1">
      <alignment horizontal="center"/>
    </xf>
    <xf numFmtId="0" fontId="6" fillId="0" borderId="0" xfId="11" applyFont="1" applyFill="1" applyBorder="1"/>
    <xf numFmtId="9" fontId="4" fillId="0" borderId="0" xfId="21" applyFont="1" applyFill="1" applyBorder="1" applyAlignment="1">
      <alignment horizontal="center"/>
    </xf>
    <xf numFmtId="0" fontId="40" fillId="0" borderId="0" xfId="11" applyFont="1"/>
    <xf numFmtId="0" fontId="41" fillId="0" borderId="0" xfId="11" applyFont="1"/>
    <xf numFmtId="0" fontId="42" fillId="0" borderId="0" xfId="11" applyFont="1"/>
    <xf numFmtId="3" fontId="52" fillId="10" borderId="14" xfId="11" applyNumberFormat="1" applyFont="1" applyFill="1" applyBorder="1"/>
    <xf numFmtId="0" fontId="3" fillId="11" borderId="21" xfId="11" applyFont="1" applyFill="1" applyBorder="1" applyAlignment="1">
      <alignment horizontal="right"/>
    </xf>
    <xf numFmtId="0" fontId="5" fillId="10" borderId="3" xfId="12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10" borderId="3" xfId="0" applyNumberFormat="1" applyFill="1" applyBorder="1" applyAlignment="1">
      <alignment horizontal="center" vertical="center"/>
    </xf>
    <xf numFmtId="0" fontId="6" fillId="10" borderId="21" xfId="11" applyFont="1" applyFill="1" applyBorder="1" applyAlignment="1">
      <alignment horizontal="center" vertical="center"/>
    </xf>
    <xf numFmtId="0" fontId="5" fillId="10" borderId="57" xfId="11" applyFill="1" applyBorder="1" applyAlignment="1">
      <alignment horizontal="center" vertical="center"/>
    </xf>
    <xf numFmtId="175" fontId="5" fillId="2" borderId="3" xfId="0" applyNumberFormat="1" applyFont="1" applyFill="1" applyBorder="1" applyAlignment="1">
      <alignment horizontal="center"/>
    </xf>
    <xf numFmtId="0" fontId="25" fillId="0" borderId="11" xfId="11" applyFont="1" applyFill="1" applyBorder="1"/>
    <xf numFmtId="0" fontId="25" fillId="10" borderId="58" xfId="11" applyFont="1" applyFill="1" applyBorder="1" applyAlignment="1">
      <alignment horizontal="center"/>
    </xf>
    <xf numFmtId="0" fontId="25" fillId="0" borderId="57" xfId="11" applyFont="1" applyFill="1" applyBorder="1"/>
    <xf numFmtId="3" fontId="22" fillId="10" borderId="57" xfId="11" applyNumberFormat="1" applyFont="1" applyFill="1" applyBorder="1"/>
    <xf numFmtId="3" fontId="27" fillId="10" borderId="57" xfId="11" applyNumberFormat="1" applyFont="1" applyFill="1" applyBorder="1"/>
    <xf numFmtId="3" fontId="25" fillId="10" borderId="57" xfId="11" applyNumberFormat="1" applyFont="1" applyFill="1" applyBorder="1"/>
    <xf numFmtId="3" fontId="25" fillId="10" borderId="59" xfId="11" applyNumberFormat="1" applyFont="1" applyFill="1" applyBorder="1"/>
    <xf numFmtId="3" fontId="29" fillId="10" borderId="60" xfId="11" applyNumberFormat="1" applyFont="1" applyFill="1" applyBorder="1"/>
    <xf numFmtId="179" fontId="5" fillId="0" borderId="14" xfId="11" applyNumberFormat="1" applyFont="1" applyFill="1" applyBorder="1"/>
    <xf numFmtId="0" fontId="54" fillId="10" borderId="0" xfId="11" applyFont="1" applyFill="1"/>
    <xf numFmtId="4" fontId="5" fillId="10" borderId="21" xfId="11" applyNumberFormat="1" applyFill="1" applyBorder="1" applyAlignment="1">
      <alignment horizontal="center"/>
    </xf>
    <xf numFmtId="9" fontId="5" fillId="10" borderId="61" xfId="29" applyFont="1" applyFill="1" applyBorder="1" applyAlignment="1">
      <alignment horizontal="center" vertical="center"/>
    </xf>
    <xf numFmtId="165" fontId="5" fillId="10" borderId="61" xfId="29" applyNumberFormat="1" applyFont="1" applyFill="1" applyBorder="1" applyAlignment="1">
      <alignment horizontal="center" vertical="center"/>
    </xf>
    <xf numFmtId="9" fontId="5" fillId="10" borderId="62" xfId="29" applyFont="1" applyFill="1" applyBorder="1" applyAlignment="1">
      <alignment horizontal="center" vertical="center"/>
    </xf>
    <xf numFmtId="165" fontId="5" fillId="10" borderId="62" xfId="29" applyNumberFormat="1" applyFont="1" applyFill="1" applyBorder="1" applyAlignment="1">
      <alignment horizontal="center" vertical="center"/>
    </xf>
    <xf numFmtId="175" fontId="5" fillId="9" borderId="3" xfId="0" applyNumberFormat="1" applyFont="1" applyFill="1" applyBorder="1" applyAlignment="1">
      <alignment horizontal="center"/>
    </xf>
    <xf numFmtId="0" fontId="0" fillId="10" borderId="0" xfId="0" applyFill="1"/>
    <xf numFmtId="0" fontId="0" fillId="10" borderId="4" xfId="0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4" fillId="10" borderId="50" xfId="0" applyFont="1" applyFill="1" applyBorder="1" applyAlignment="1">
      <alignment horizontal="center"/>
    </xf>
    <xf numFmtId="4" fontId="0" fillId="10" borderId="0" xfId="0" applyNumberFormat="1" applyFill="1" applyBorder="1"/>
    <xf numFmtId="4" fontId="5" fillId="10" borderId="0" xfId="0" applyNumberFormat="1" applyFont="1" applyFill="1" applyBorder="1"/>
    <xf numFmtId="169" fontId="5" fillId="10" borderId="0" xfId="0" applyNumberFormat="1" applyFont="1" applyFill="1" applyBorder="1" applyAlignment="1">
      <alignment vertical="center"/>
    </xf>
    <xf numFmtId="0" fontId="0" fillId="10" borderId="0" xfId="0" applyFill="1" applyBorder="1"/>
    <xf numFmtId="168" fontId="5" fillId="10" borderId="0" xfId="0" applyNumberFormat="1" applyFont="1" applyFill="1" applyBorder="1" applyAlignment="1">
      <alignment vertical="center"/>
    </xf>
    <xf numFmtId="0" fontId="0" fillId="10" borderId="49" xfId="0" applyFill="1" applyBorder="1" applyAlignment="1">
      <alignment horizontal="center"/>
    </xf>
    <xf numFmtId="4" fontId="0" fillId="10" borderId="2" xfId="0" applyNumberFormat="1" applyFill="1" applyBorder="1"/>
    <xf numFmtId="4" fontId="5" fillId="10" borderId="2" xfId="0" applyNumberFormat="1" applyFont="1" applyFill="1" applyBorder="1"/>
    <xf numFmtId="4" fontId="5" fillId="10" borderId="1" xfId="0" applyNumberFormat="1" applyFont="1" applyFill="1" applyBorder="1"/>
    <xf numFmtId="4" fontId="0" fillId="10" borderId="54" xfId="0" applyNumberFormat="1" applyFill="1" applyBorder="1"/>
    <xf numFmtId="4" fontId="0" fillId="10" borderId="1" xfId="0" applyNumberFormat="1" applyFill="1" applyBorder="1"/>
    <xf numFmtId="4" fontId="0" fillId="10" borderId="46" xfId="0" applyNumberFormat="1" applyFill="1" applyBorder="1"/>
    <xf numFmtId="0" fontId="4" fillId="10" borderId="35" xfId="0" applyFont="1" applyFill="1" applyBorder="1" applyAlignment="1">
      <alignment horizontal="center"/>
    </xf>
    <xf numFmtId="4" fontId="0" fillId="10" borderId="36" xfId="0" applyNumberFormat="1" applyFill="1" applyBorder="1"/>
    <xf numFmtId="4" fontId="5" fillId="10" borderId="36" xfId="0" applyNumberFormat="1" applyFont="1" applyFill="1" applyBorder="1"/>
    <xf numFmtId="4" fontId="0" fillId="10" borderId="37" xfId="0" applyNumberFormat="1" applyFill="1" applyBorder="1"/>
    <xf numFmtId="4" fontId="0" fillId="10" borderId="53" xfId="0" applyNumberFormat="1" applyFill="1" applyBorder="1"/>
    <xf numFmtId="0" fontId="10" fillId="10" borderId="0" xfId="11" applyFont="1" applyFill="1" applyAlignment="1">
      <alignment horizontal="left"/>
    </xf>
    <xf numFmtId="165" fontId="5" fillId="10" borderId="0" xfId="21" applyNumberFormat="1" applyFill="1"/>
    <xf numFmtId="0" fontId="7" fillId="10" borderId="0" xfId="11" applyFont="1" applyFill="1"/>
    <xf numFmtId="0" fontId="19" fillId="10" borderId="0" xfId="11" applyFont="1" applyFill="1"/>
    <xf numFmtId="9" fontId="6" fillId="3" borderId="9" xfId="22" applyNumberFormat="1" applyFont="1" applyFill="1" applyBorder="1" applyAlignment="1">
      <alignment horizontal="center"/>
    </xf>
    <xf numFmtId="9" fontId="6" fillId="2" borderId="63" xfId="22" applyNumberFormat="1" applyFont="1" applyFill="1" applyBorder="1" applyAlignment="1">
      <alignment horizontal="center"/>
    </xf>
    <xf numFmtId="9" fontId="6" fillId="3" borderId="63" xfId="22" applyFont="1" applyFill="1" applyBorder="1" applyAlignment="1">
      <alignment horizontal="center"/>
    </xf>
    <xf numFmtId="9" fontId="6" fillId="2" borderId="56" xfId="22" applyFont="1" applyFill="1" applyBorder="1" applyAlignment="1">
      <alignment horizontal="center"/>
    </xf>
    <xf numFmtId="0" fontId="5" fillId="0" borderId="64" xfId="12" applyFont="1" applyFill="1" applyBorder="1" applyAlignment="1">
      <alignment horizontal="center"/>
    </xf>
    <xf numFmtId="0" fontId="4" fillId="0" borderId="50" xfId="12" applyFont="1" applyFill="1" applyBorder="1" applyAlignment="1">
      <alignment horizontal="center"/>
    </xf>
    <xf numFmtId="0" fontId="5" fillId="0" borderId="0" xfId="12" applyFont="1" applyBorder="1"/>
    <xf numFmtId="0" fontId="4" fillId="0" borderId="0" xfId="12" applyFont="1" applyFill="1"/>
    <xf numFmtId="0" fontId="25" fillId="0" borderId="10" xfId="11" applyFont="1" applyFill="1" applyBorder="1" applyAlignment="1">
      <alignment horizontal="center"/>
    </xf>
    <xf numFmtId="0" fontId="25" fillId="0" borderId="15" xfId="11" applyFont="1" applyFill="1" applyBorder="1"/>
    <xf numFmtId="3" fontId="5" fillId="0" borderId="11" xfId="11" applyNumberFormat="1" applyFont="1" applyFill="1" applyBorder="1"/>
    <xf numFmtId="0" fontId="25" fillId="0" borderId="13" xfId="11" applyFont="1" applyFill="1" applyBorder="1" applyAlignment="1">
      <alignment horizontal="center"/>
    </xf>
    <xf numFmtId="3" fontId="22" fillId="0" borderId="14" xfId="11" applyNumberFormat="1" applyFont="1" applyFill="1" applyBorder="1"/>
    <xf numFmtId="3" fontId="25" fillId="0" borderId="15" xfId="11" applyNumberFormat="1" applyFont="1" applyFill="1" applyBorder="1"/>
    <xf numFmtId="0" fontId="5" fillId="0" borderId="14" xfId="11" applyFill="1" applyBorder="1"/>
    <xf numFmtId="3" fontId="5" fillId="0" borderId="14" xfId="11" applyNumberFormat="1" applyFont="1" applyFill="1" applyBorder="1"/>
    <xf numFmtId="3" fontId="5" fillId="0" borderId="0" xfId="11" applyNumberFormat="1" applyFill="1" applyBorder="1"/>
    <xf numFmtId="0" fontId="47" fillId="0" borderId="0" xfId="11" applyFont="1" applyFill="1" applyBorder="1"/>
    <xf numFmtId="0" fontId="60" fillId="0" borderId="13" xfId="11" applyFont="1" applyFill="1" applyBorder="1" applyAlignment="1">
      <alignment horizontal="center"/>
    </xf>
    <xf numFmtId="3" fontId="52" fillId="0" borderId="0" xfId="11" applyNumberFormat="1" applyFont="1" applyFill="1" applyBorder="1"/>
    <xf numFmtId="0" fontId="52" fillId="0" borderId="0" xfId="11" applyFont="1" applyFill="1" applyBorder="1"/>
    <xf numFmtId="0" fontId="52" fillId="0" borderId="0" xfId="11" applyFont="1" applyFill="1"/>
    <xf numFmtId="3" fontId="47" fillId="0" borderId="0" xfId="11" applyNumberFormat="1" applyFont="1" applyFill="1" applyBorder="1"/>
    <xf numFmtId="0" fontId="25" fillId="0" borderId="15" xfId="11" applyFont="1" applyFill="1" applyBorder="1" applyAlignment="1">
      <alignment vertical="center" wrapText="1"/>
    </xf>
    <xf numFmtId="3" fontId="5" fillId="0" borderId="54" xfId="11" applyNumberFormat="1" applyFill="1" applyBorder="1"/>
    <xf numFmtId="3" fontId="5" fillId="0" borderId="2" xfId="11" applyNumberFormat="1" applyFill="1" applyBorder="1"/>
    <xf numFmtId="0" fontId="60" fillId="0" borderId="15" xfId="11" applyFont="1" applyFill="1" applyBorder="1"/>
    <xf numFmtId="0" fontId="8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3" fontId="29" fillId="0" borderId="67" xfId="11" applyNumberFormat="1" applyFont="1" applyFill="1" applyBorder="1"/>
    <xf numFmtId="0" fontId="49" fillId="0" borderId="0" xfId="0" applyFont="1" applyBorder="1"/>
    <xf numFmtId="3" fontId="49" fillId="0" borderId="0" xfId="0" applyNumberFormat="1" applyFont="1" applyBorder="1"/>
    <xf numFmtId="168" fontId="49" fillId="0" borderId="0" xfId="0" applyNumberFormat="1" applyFont="1" applyBorder="1"/>
    <xf numFmtId="0" fontId="49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/>
    <xf numFmtId="0" fontId="49" fillId="0" borderId="0" xfId="0" applyFont="1" applyBorder="1" applyAlignment="1">
      <alignment vertical="center"/>
    </xf>
    <xf numFmtId="167" fontId="4" fillId="3" borderId="54" xfId="0" applyNumberFormat="1" applyFont="1" applyFill="1" applyBorder="1"/>
    <xf numFmtId="167" fontId="0" fillId="3" borderId="54" xfId="0" applyNumberFormat="1" applyFill="1" applyBorder="1"/>
    <xf numFmtId="167" fontId="0" fillId="3" borderId="1" xfId="0" applyNumberFormat="1" applyFill="1" applyBorder="1"/>
    <xf numFmtId="167" fontId="0" fillId="3" borderId="2" xfId="0" quotePrefix="1" applyNumberFormat="1" applyFill="1" applyBorder="1" applyAlignment="1">
      <alignment horizontal="center"/>
    </xf>
    <xf numFmtId="167" fontId="4" fillId="2" borderId="54" xfId="0" applyNumberFormat="1" applyFont="1" applyFill="1" applyBorder="1"/>
    <xf numFmtId="167" fontId="0" fillId="2" borderId="54" xfId="0" applyNumberFormat="1" applyFill="1" applyBorder="1"/>
    <xf numFmtId="167" fontId="0" fillId="2" borderId="2" xfId="0" applyNumberFormat="1" applyFill="1" applyBorder="1"/>
    <xf numFmtId="167" fontId="0" fillId="2" borderId="2" xfId="0" applyNumberFormat="1" applyFill="1" applyBorder="1" applyAlignment="1">
      <alignment horizontal="right"/>
    </xf>
    <xf numFmtId="167" fontId="0" fillId="2" borderId="1" xfId="0" applyNumberFormat="1" applyFill="1" applyBorder="1"/>
    <xf numFmtId="167" fontId="0" fillId="3" borderId="2" xfId="0" applyNumberFormat="1" applyFill="1" applyBorder="1"/>
    <xf numFmtId="167" fontId="0" fillId="3" borderId="2" xfId="0" applyNumberFormat="1" applyFill="1" applyBorder="1" applyAlignment="1">
      <alignment horizontal="right"/>
    </xf>
    <xf numFmtId="167" fontId="4" fillId="0" borderId="54" xfId="0" applyNumberFormat="1" applyFont="1" applyFill="1" applyBorder="1"/>
    <xf numFmtId="167" fontId="0" fillId="0" borderId="54" xfId="0" applyNumberFormat="1" applyFill="1" applyBorder="1"/>
    <xf numFmtId="167" fontId="0" fillId="0" borderId="1" xfId="0" applyNumberFormat="1" applyFill="1" applyBorder="1"/>
    <xf numFmtId="167" fontId="0" fillId="0" borderId="2" xfId="0" applyNumberFormat="1" applyFill="1" applyBorder="1"/>
    <xf numFmtId="167" fontId="4" fillId="9" borderId="54" xfId="0" applyNumberFormat="1" applyFont="1" applyFill="1" applyBorder="1"/>
    <xf numFmtId="167" fontId="0" fillId="9" borderId="54" xfId="0" applyNumberFormat="1" applyFill="1" applyBorder="1"/>
    <xf numFmtId="167" fontId="0" fillId="9" borderId="1" xfId="0" applyNumberFormat="1" applyFill="1" applyBorder="1"/>
    <xf numFmtId="167" fontId="0" fillId="9" borderId="2" xfId="0" applyNumberFormat="1" applyFill="1" applyBorder="1"/>
    <xf numFmtId="167" fontId="4" fillId="10" borderId="54" xfId="0" applyNumberFormat="1" applyFont="1" applyFill="1" applyBorder="1"/>
    <xf numFmtId="167" fontId="0" fillId="10" borderId="54" xfId="0" applyNumberFormat="1" applyFill="1" applyBorder="1"/>
    <xf numFmtId="167" fontId="0" fillId="10" borderId="1" xfId="0" applyNumberFormat="1" applyFill="1" applyBorder="1"/>
    <xf numFmtId="167" fontId="0" fillId="10" borderId="2" xfId="0" applyNumberFormat="1" applyFill="1" applyBorder="1"/>
    <xf numFmtId="4" fontId="5" fillId="10" borderId="36" xfId="0" quotePrefix="1" applyNumberFormat="1" applyFont="1" applyFill="1" applyBorder="1" applyAlignment="1">
      <alignment horizontal="right"/>
    </xf>
    <xf numFmtId="4" fontId="5" fillId="10" borderId="2" xfId="0" applyNumberFormat="1" applyFont="1" applyFill="1" applyBorder="1" applyAlignment="1">
      <alignment horizontal="right"/>
    </xf>
    <xf numFmtId="4" fontId="4" fillId="9" borderId="4" xfId="11" applyNumberFormat="1" applyFont="1" applyFill="1" applyBorder="1" applyProtection="1">
      <protection locked="0"/>
    </xf>
    <xf numFmtId="4" fontId="5" fillId="9" borderId="1" xfId="11" applyNumberFormat="1" applyFill="1" applyBorder="1" applyProtection="1">
      <protection locked="0"/>
    </xf>
    <xf numFmtId="4" fontId="5" fillId="9" borderId="2" xfId="11" applyNumberFormat="1" applyFill="1" applyBorder="1" applyProtection="1">
      <protection locked="0"/>
    </xf>
    <xf numFmtId="4" fontId="5" fillId="9" borderId="54" xfId="11" applyNumberFormat="1" applyFill="1" applyBorder="1" applyProtection="1">
      <protection locked="0"/>
    </xf>
    <xf numFmtId="4" fontId="5" fillId="9" borderId="0" xfId="11" applyNumberFormat="1" applyFill="1" applyBorder="1" applyProtection="1">
      <protection locked="0"/>
    </xf>
    <xf numFmtId="4" fontId="5" fillId="9" borderId="1" xfId="11" applyNumberFormat="1" applyFill="1" applyBorder="1"/>
    <xf numFmtId="4" fontId="5" fillId="9" borderId="2" xfId="11" applyNumberFormat="1" applyFill="1" applyBorder="1"/>
    <xf numFmtId="4" fontId="5" fillId="9" borderId="0" xfId="11" applyNumberFormat="1" applyFill="1" applyBorder="1"/>
    <xf numFmtId="4" fontId="4" fillId="2" borderId="4" xfId="11" applyNumberFormat="1" applyFont="1" applyFill="1" applyBorder="1" applyProtection="1">
      <protection locked="0"/>
    </xf>
    <xf numFmtId="4" fontId="5" fillId="2" borderId="1" xfId="11" applyNumberFormat="1" applyFill="1" applyBorder="1" applyProtection="1">
      <protection locked="0"/>
    </xf>
    <xf numFmtId="4" fontId="5" fillId="2" borderId="2" xfId="11" applyNumberFormat="1" applyFill="1" applyBorder="1" applyProtection="1">
      <protection locked="0"/>
    </xf>
    <xf numFmtId="4" fontId="5" fillId="2" borderId="54" xfId="11" applyNumberFormat="1" applyFill="1" applyBorder="1" applyProtection="1">
      <protection locked="0"/>
    </xf>
    <xf numFmtId="4" fontId="5" fillId="2" borderId="1" xfId="11" applyNumberFormat="1" applyFill="1" applyBorder="1"/>
    <xf numFmtId="4" fontId="5" fillId="2" borderId="2" xfId="11" quotePrefix="1" applyNumberFormat="1" applyFill="1" applyBorder="1" applyAlignment="1">
      <alignment horizontal="right"/>
    </xf>
    <xf numFmtId="4" fontId="5" fillId="2" borderId="54" xfId="11" applyNumberFormat="1" applyFill="1" applyBorder="1"/>
    <xf numFmtId="4" fontId="4" fillId="9" borderId="0" xfId="11" applyNumberFormat="1" applyFont="1" applyFill="1" applyBorder="1" applyProtection="1">
      <protection locked="0"/>
    </xf>
    <xf numFmtId="4" fontId="4" fillId="2" borderId="0" xfId="11" applyNumberFormat="1" applyFont="1" applyFill="1" applyBorder="1" applyProtection="1">
      <protection locked="0"/>
    </xf>
    <xf numFmtId="4" fontId="5" fillId="2" borderId="0" xfId="11" applyNumberFormat="1" applyFill="1" applyBorder="1" applyProtection="1">
      <protection locked="0"/>
    </xf>
    <xf numFmtId="4" fontId="5" fillId="2" borderId="2" xfId="11" applyNumberFormat="1" applyFill="1" applyBorder="1"/>
    <xf numFmtId="4" fontId="5" fillId="2" borderId="0" xfId="11" applyNumberFormat="1" applyFill="1" applyBorder="1"/>
    <xf numFmtId="4" fontId="4" fillId="0" borderId="0" xfId="11" applyNumberFormat="1" applyFont="1" applyFill="1" applyBorder="1" applyProtection="1">
      <protection locked="0"/>
    </xf>
    <xf numFmtId="4" fontId="5" fillId="0" borderId="1" xfId="11" applyNumberFormat="1" applyFill="1" applyBorder="1" applyProtection="1">
      <protection locked="0"/>
    </xf>
    <xf numFmtId="4" fontId="5" fillId="0" borderId="2" xfId="11" applyNumberFormat="1" applyFill="1" applyBorder="1" applyProtection="1">
      <protection locked="0"/>
    </xf>
    <xf numFmtId="4" fontId="5" fillId="0" borderId="54" xfId="11" applyNumberFormat="1" applyFill="1" applyBorder="1" applyProtection="1">
      <protection locked="0"/>
    </xf>
    <xf numFmtId="4" fontId="5" fillId="0" borderId="2" xfId="11" applyNumberFormat="1" applyFill="1" applyBorder="1"/>
    <xf numFmtId="4" fontId="5" fillId="0" borderId="0" xfId="11" applyNumberFormat="1" applyFill="1" applyBorder="1"/>
    <xf numFmtId="4" fontId="5" fillId="0" borderId="1" xfId="11" applyNumberFormat="1" applyFill="1" applyBorder="1"/>
    <xf numFmtId="4" fontId="4" fillId="10" borderId="0" xfId="11" applyNumberFormat="1" applyFont="1" applyFill="1" applyBorder="1" applyProtection="1">
      <protection locked="0"/>
    </xf>
    <xf numFmtId="4" fontId="5" fillId="10" borderId="1" xfId="11" applyNumberFormat="1" applyFill="1" applyBorder="1" applyProtection="1">
      <protection locked="0"/>
    </xf>
    <xf numFmtId="4" fontId="5" fillId="10" borderId="2" xfId="11" applyNumberFormat="1" applyFill="1" applyBorder="1" applyProtection="1">
      <protection locked="0"/>
    </xf>
    <xf numFmtId="4" fontId="5" fillId="10" borderId="54" xfId="11" applyNumberFormat="1" applyFill="1" applyBorder="1" applyProtection="1">
      <protection locked="0"/>
    </xf>
    <xf numFmtId="4" fontId="5" fillId="10" borderId="2" xfId="11" applyNumberFormat="1" applyFill="1" applyBorder="1"/>
    <xf numFmtId="4" fontId="5" fillId="10" borderId="1" xfId="11" applyNumberFormat="1" applyFill="1" applyBorder="1"/>
    <xf numFmtId="4" fontId="5" fillId="10" borderId="0" xfId="11" applyNumberFormat="1" applyFill="1" applyBorder="1"/>
    <xf numFmtId="4" fontId="5" fillId="9" borderId="54" xfId="11" applyNumberFormat="1" applyFill="1" applyBorder="1" applyAlignment="1" applyProtection="1">
      <alignment horizontal="right"/>
      <protection locked="0"/>
    </xf>
    <xf numFmtId="4" fontId="5" fillId="9" borderId="2" xfId="11" applyNumberFormat="1" applyFill="1" applyBorder="1" applyAlignment="1">
      <alignment horizontal="right"/>
    </xf>
    <xf numFmtId="9" fontId="6" fillId="3" borderId="68" xfId="25" applyNumberFormat="1" applyFont="1" applyFill="1" applyBorder="1" applyAlignment="1">
      <alignment horizontal="right"/>
    </xf>
    <xf numFmtId="9" fontId="6" fillId="0" borderId="69" xfId="25" applyNumberFormat="1" applyFont="1" applyFill="1" applyBorder="1" applyAlignment="1">
      <alignment horizontal="right"/>
    </xf>
    <xf numFmtId="9" fontId="6" fillId="3" borderId="69" xfId="25" applyNumberFormat="1" applyFont="1" applyFill="1" applyBorder="1" applyAlignment="1">
      <alignment horizontal="right"/>
    </xf>
    <xf numFmtId="9" fontId="6" fillId="0" borderId="70" xfId="25" applyNumberFormat="1" applyFont="1" applyFill="1" applyBorder="1" applyAlignment="1">
      <alignment horizontal="right"/>
    </xf>
    <xf numFmtId="4" fontId="5" fillId="2" borderId="71" xfId="11" applyNumberFormat="1" applyFill="1" applyBorder="1" applyAlignment="1">
      <alignment horizontal="center"/>
    </xf>
    <xf numFmtId="4" fontId="5" fillId="3" borderId="46" xfId="11" applyNumberFormat="1" applyFill="1" applyBorder="1" applyAlignment="1">
      <alignment horizontal="right"/>
    </xf>
    <xf numFmtId="4" fontId="5" fillId="2" borderId="2" xfId="11" applyNumberFormat="1" applyFill="1" applyBorder="1" applyAlignment="1">
      <alignment horizontal="right"/>
    </xf>
    <xf numFmtId="4" fontId="5" fillId="2" borderId="46" xfId="11" applyNumberFormat="1" applyFill="1" applyBorder="1" applyAlignment="1">
      <alignment horizontal="right"/>
    </xf>
    <xf numFmtId="4" fontId="5" fillId="2" borderId="2" xfId="11" applyNumberFormat="1" applyFont="1" applyFill="1" applyBorder="1" applyAlignment="1">
      <alignment horizontal="right"/>
    </xf>
    <xf numFmtId="4" fontId="5" fillId="3" borderId="2" xfId="11" applyNumberFormat="1" applyFont="1" applyFill="1" applyBorder="1" applyAlignment="1">
      <alignment horizontal="right"/>
    </xf>
    <xf numFmtId="4" fontId="5" fillId="10" borderId="2" xfId="11" applyNumberFormat="1" applyFill="1" applyBorder="1" applyAlignment="1">
      <alignment horizontal="right"/>
    </xf>
    <xf numFmtId="4" fontId="5" fillId="10" borderId="46" xfId="11" applyNumberFormat="1" applyFill="1" applyBorder="1" applyAlignment="1">
      <alignment horizontal="right"/>
    </xf>
    <xf numFmtId="3" fontId="4" fillId="3" borderId="4" xfId="11" applyNumberFormat="1" applyFont="1" applyFill="1" applyBorder="1" applyAlignment="1">
      <alignment horizontal="right"/>
    </xf>
    <xf numFmtId="3" fontId="4" fillId="2" borderId="4" xfId="11" applyNumberFormat="1" applyFont="1" applyFill="1" applyBorder="1" applyAlignment="1">
      <alignment horizontal="right"/>
    </xf>
    <xf numFmtId="3" fontId="4" fillId="10" borderId="4" xfId="11" applyNumberFormat="1" applyFont="1" applyFill="1" applyBorder="1" applyAlignment="1">
      <alignment horizontal="right"/>
    </xf>
    <xf numFmtId="4" fontId="0" fillId="10" borderId="1" xfId="0" applyNumberFormat="1" applyFill="1" applyBorder="1" applyAlignment="1">
      <alignment vertical="center"/>
    </xf>
    <xf numFmtId="4" fontId="0" fillId="9" borderId="1" xfId="0" applyNumberFormat="1" applyFill="1" applyBorder="1" applyAlignment="1">
      <alignment vertical="center"/>
    </xf>
    <xf numFmtId="175" fontId="0" fillId="0" borderId="6" xfId="0" applyNumberFormat="1" applyFill="1" applyBorder="1" applyAlignment="1">
      <alignment horizontal="center"/>
    </xf>
    <xf numFmtId="169" fontId="4" fillId="0" borderId="37" xfId="0" applyNumberFormat="1" applyFont="1" applyFill="1" applyBorder="1"/>
    <xf numFmtId="169" fontId="0" fillId="0" borderId="38" xfId="0" applyNumberFormat="1" applyFill="1" applyBorder="1"/>
    <xf numFmtId="167" fontId="0" fillId="3" borderId="46" xfId="0" applyNumberFormat="1" applyFill="1" applyBorder="1"/>
    <xf numFmtId="167" fontId="0" fillId="2" borderId="46" xfId="0" applyNumberFormat="1" applyFill="1" applyBorder="1"/>
    <xf numFmtId="175" fontId="5" fillId="0" borderId="6" xfId="11" applyNumberFormat="1" applyFill="1" applyBorder="1" applyAlignment="1">
      <alignment horizontal="center"/>
    </xf>
    <xf numFmtId="176" fontId="4" fillId="0" borderId="37" xfId="11" applyNumberFormat="1" applyFont="1" applyFill="1" applyBorder="1"/>
    <xf numFmtId="176" fontId="5" fillId="0" borderId="37" xfId="11" applyNumberFormat="1" applyFill="1" applyBorder="1"/>
    <xf numFmtId="176" fontId="5" fillId="0" borderId="38" xfId="11" applyNumberFormat="1" applyFill="1" applyBorder="1"/>
    <xf numFmtId="176" fontId="5" fillId="0" borderId="53" xfId="11" applyNumberFormat="1" applyFont="1" applyFill="1" applyBorder="1"/>
    <xf numFmtId="169" fontId="4" fillId="0" borderId="5" xfId="0" applyNumberFormat="1" applyFont="1" applyFill="1" applyBorder="1"/>
    <xf numFmtId="169" fontId="0" fillId="0" borderId="5" xfId="0" applyNumberFormat="1" applyFill="1" applyBorder="1"/>
    <xf numFmtId="4" fontId="25" fillId="0" borderId="11" xfId="11" applyNumberFormat="1" applyFont="1" applyFill="1" applyBorder="1"/>
    <xf numFmtId="4" fontId="25" fillId="0" borderId="12" xfId="11" applyNumberFormat="1" applyFont="1" applyFill="1" applyBorder="1"/>
    <xf numFmtId="4" fontId="29" fillId="0" borderId="72" xfId="11" applyNumberFormat="1" applyFont="1" applyFill="1" applyBorder="1"/>
    <xf numFmtId="4" fontId="27" fillId="0" borderId="14" xfId="11" applyNumberFormat="1" applyFont="1" applyFill="1" applyBorder="1"/>
    <xf numFmtId="4" fontId="25" fillId="0" borderId="14" xfId="11" applyNumberFormat="1" applyFont="1" applyFill="1" applyBorder="1"/>
    <xf numFmtId="4" fontId="25" fillId="0" borderId="15" xfId="11" applyNumberFormat="1" applyFont="1" applyFill="1" applyBorder="1"/>
    <xf numFmtId="4" fontId="25" fillId="0" borderId="14" xfId="11" quotePrefix="1" applyNumberFormat="1" applyFont="1" applyFill="1" applyBorder="1" applyAlignment="1">
      <alignment horizontal="right"/>
    </xf>
    <xf numFmtId="4" fontId="25" fillId="0" borderId="15" xfId="11" quotePrefix="1" applyNumberFormat="1" applyFont="1" applyFill="1" applyBorder="1" applyAlignment="1">
      <alignment horizontal="right"/>
    </xf>
    <xf numFmtId="4" fontId="25" fillId="10" borderId="14" xfId="11" applyNumberFormat="1" applyFont="1" applyFill="1" applyBorder="1"/>
    <xf numFmtId="4" fontId="60" fillId="10" borderId="14" xfId="11" applyNumberFormat="1" applyFont="1" applyFill="1" applyBorder="1"/>
    <xf numFmtId="4" fontId="60" fillId="0" borderId="14" xfId="11" applyNumberFormat="1" applyFont="1" applyFill="1" applyBorder="1"/>
    <xf numFmtId="4" fontId="60" fillId="0" borderId="15" xfId="11" applyNumberFormat="1" applyFont="1" applyFill="1" applyBorder="1"/>
    <xf numFmtId="4" fontId="29" fillId="0" borderId="73" xfId="11" applyNumberFormat="1" applyFont="1" applyFill="1" applyBorder="1"/>
    <xf numFmtId="4" fontId="29" fillId="0" borderId="19" xfId="11" applyNumberFormat="1" applyFont="1" applyFill="1" applyBorder="1"/>
    <xf numFmtId="4" fontId="29" fillId="0" borderId="20" xfId="11" applyNumberFormat="1" applyFont="1" applyFill="1" applyBorder="1"/>
    <xf numFmtId="4" fontId="29" fillId="0" borderId="0" xfId="11" applyNumberFormat="1" applyFont="1" applyFill="1" applyBorder="1"/>
    <xf numFmtId="4" fontId="26" fillId="10" borderId="0" xfId="11" applyNumberFormat="1" applyFont="1" applyFill="1" applyBorder="1"/>
    <xf numFmtId="175" fontId="5" fillId="10" borderId="3" xfId="0" applyNumberFormat="1" applyFont="1" applyFill="1" applyBorder="1" applyAlignment="1">
      <alignment horizontal="center"/>
    </xf>
    <xf numFmtId="175" fontId="5" fillId="10" borderId="3" xfId="11" applyNumberFormat="1" applyFont="1" applyFill="1" applyBorder="1" applyAlignment="1">
      <alignment horizontal="center"/>
    </xf>
    <xf numFmtId="167" fontId="0" fillId="9" borderId="46" xfId="0" applyNumberFormat="1" applyFill="1" applyBorder="1"/>
    <xf numFmtId="165" fontId="6" fillId="3" borderId="68" xfId="25" applyNumberFormat="1" applyFont="1" applyFill="1" applyBorder="1" applyAlignment="1">
      <alignment horizontal="right"/>
    </xf>
    <xf numFmtId="165" fontId="6" fillId="0" borderId="69" xfId="25" applyNumberFormat="1" applyFont="1" applyFill="1" applyBorder="1" applyAlignment="1">
      <alignment horizontal="right"/>
    </xf>
    <xf numFmtId="0" fontId="4" fillId="10" borderId="0" xfId="0" applyFont="1" applyFill="1" applyBorder="1" applyAlignment="1">
      <alignment horizontal="center"/>
    </xf>
    <xf numFmtId="0" fontId="5" fillId="10" borderId="3" xfId="11" applyFont="1" applyFill="1" applyBorder="1" applyAlignment="1">
      <alignment horizontal="center"/>
    </xf>
    <xf numFmtId="2" fontId="5" fillId="0" borderId="74" xfId="12" applyNumberFormat="1" applyFont="1" applyFill="1" applyBorder="1" applyAlignment="1">
      <alignment horizontal="center"/>
    </xf>
    <xf numFmtId="2" fontId="5" fillId="0" borderId="75" xfId="12" applyNumberFormat="1" applyFont="1" applyFill="1" applyBorder="1" applyAlignment="1">
      <alignment horizontal="center"/>
    </xf>
    <xf numFmtId="2" fontId="4" fillId="0" borderId="5" xfId="12" applyNumberFormat="1" applyFont="1" applyFill="1" applyBorder="1" applyAlignment="1">
      <alignment horizontal="center"/>
    </xf>
    <xf numFmtId="2" fontId="4" fillId="0" borderId="76" xfId="12" applyNumberFormat="1" applyFont="1" applyFill="1" applyBorder="1" applyAlignment="1">
      <alignment horizontal="center"/>
    </xf>
    <xf numFmtId="0" fontId="5" fillId="10" borderId="3" xfId="0" applyNumberFormat="1" applyFont="1" applyFill="1" applyBorder="1" applyAlignment="1">
      <alignment horizontal="center" vertical="center"/>
    </xf>
    <xf numFmtId="169" fontId="5" fillId="9" borderId="47" xfId="11" applyNumberFormat="1" applyFill="1" applyBorder="1" applyAlignment="1">
      <alignment horizontal="center"/>
    </xf>
    <xf numFmtId="169" fontId="5" fillId="9" borderId="48" xfId="11" applyNumberFormat="1" applyFill="1" applyBorder="1" applyAlignment="1">
      <alignment horizontal="center"/>
    </xf>
    <xf numFmtId="169" fontId="5" fillId="9" borderId="2" xfId="11" applyNumberFormat="1" applyFill="1" applyBorder="1"/>
    <xf numFmtId="169" fontId="5" fillId="9" borderId="49" xfId="11" applyNumberFormat="1" applyFill="1" applyBorder="1"/>
    <xf numFmtId="169" fontId="5" fillId="13" borderId="49" xfId="11" applyNumberFormat="1" applyFill="1" applyBorder="1"/>
    <xf numFmtId="168" fontId="5" fillId="9" borderId="2" xfId="11" applyNumberFormat="1" applyFill="1" applyBorder="1"/>
    <xf numFmtId="168" fontId="5" fillId="9" borderId="46" xfId="11" applyNumberFormat="1" applyFont="1" applyFill="1" applyBorder="1"/>
    <xf numFmtId="4" fontId="25" fillId="0" borderId="17" xfId="11" applyNumberFormat="1" applyFont="1" applyFill="1" applyBorder="1"/>
    <xf numFmtId="0" fontId="25" fillId="0" borderId="58" xfId="11" applyFont="1" applyFill="1" applyBorder="1" applyAlignment="1">
      <alignment horizontal="center"/>
    </xf>
    <xf numFmtId="0" fontId="25" fillId="0" borderId="59" xfId="11" applyFont="1" applyFill="1" applyBorder="1"/>
    <xf numFmtId="3" fontId="5" fillId="0" borderId="57" xfId="11" applyNumberFormat="1" applyFont="1" applyFill="1" applyBorder="1"/>
    <xf numFmtId="4" fontId="25" fillId="0" borderId="57" xfId="11" applyNumberFormat="1" applyFont="1" applyFill="1" applyBorder="1"/>
    <xf numFmtId="4" fontId="25" fillId="0" borderId="59" xfId="11" applyNumberFormat="1" applyFont="1" applyFill="1" applyBorder="1"/>
    <xf numFmtId="4" fontId="29" fillId="0" borderId="77" xfId="11" applyNumberFormat="1" applyFont="1" applyFill="1" applyBorder="1"/>
    <xf numFmtId="0" fontId="25" fillId="0" borderId="12" xfId="11" applyFont="1" applyFill="1" applyBorder="1"/>
    <xf numFmtId="3" fontId="25" fillId="0" borderId="25" xfId="11" applyNumberFormat="1" applyFont="1" applyFill="1" applyBorder="1"/>
    <xf numFmtId="3" fontId="26" fillId="10" borderId="60" xfId="11" applyNumberFormat="1" applyFont="1" applyFill="1" applyBorder="1"/>
    <xf numFmtId="3" fontId="26" fillId="0" borderId="22" xfId="11" applyNumberFormat="1" applyFont="1" applyFill="1" applyBorder="1"/>
    <xf numFmtId="3" fontId="4" fillId="0" borderId="42" xfId="11" applyNumberFormat="1" applyFont="1" applyFill="1" applyBorder="1"/>
    <xf numFmtId="3" fontId="26" fillId="10" borderId="36" xfId="11" applyNumberFormat="1" applyFont="1" applyFill="1" applyBorder="1"/>
    <xf numFmtId="3" fontId="26" fillId="10" borderId="78" xfId="11" applyNumberFormat="1" applyFont="1" applyFill="1" applyBorder="1"/>
    <xf numFmtId="3" fontId="26" fillId="10" borderId="67" xfId="11" applyNumberFormat="1" applyFont="1" applyFill="1" applyBorder="1"/>
    <xf numFmtId="0" fontId="50" fillId="10" borderId="0" xfId="10" applyFont="1" applyFill="1" applyBorder="1"/>
    <xf numFmtId="167" fontId="50" fillId="10" borderId="0" xfId="0" applyNumberFormat="1" applyFont="1" applyFill="1" applyBorder="1"/>
    <xf numFmtId="0" fontId="50" fillId="10" borderId="0" xfId="0" applyFont="1" applyFill="1" applyBorder="1"/>
    <xf numFmtId="168" fontId="50" fillId="12" borderId="0" xfId="0" applyNumberFormat="1" applyFont="1" applyFill="1" applyBorder="1" applyAlignment="1">
      <alignment horizontal="centerContinuous"/>
    </xf>
    <xf numFmtId="168" fontId="62" fillId="12" borderId="0" xfId="0" applyNumberFormat="1" applyFont="1" applyFill="1" applyBorder="1" applyAlignment="1">
      <alignment horizontal="center"/>
    </xf>
    <xf numFmtId="169" fontId="50" fillId="2" borderId="0" xfId="0" applyNumberFormat="1" applyFont="1" applyFill="1" applyBorder="1"/>
    <xf numFmtId="169" fontId="50" fillId="3" borderId="0" xfId="0" applyNumberFormat="1" applyFont="1" applyFill="1" applyBorder="1"/>
    <xf numFmtId="169" fontId="50" fillId="9" borderId="0" xfId="0" applyNumberFormat="1" applyFont="1" applyFill="1" applyBorder="1"/>
    <xf numFmtId="169" fontId="50" fillId="10" borderId="0" xfId="0" applyNumberFormat="1" applyFont="1" applyFill="1" applyBorder="1"/>
    <xf numFmtId="169" fontId="50" fillId="0" borderId="0" xfId="0" applyNumberFormat="1" applyFont="1" applyFill="1" applyBorder="1"/>
    <xf numFmtId="9" fontId="62" fillId="3" borderId="0" xfId="25" applyNumberFormat="1" applyFont="1" applyFill="1" applyBorder="1" applyAlignment="1">
      <alignment horizontal="center"/>
    </xf>
    <xf numFmtId="9" fontId="62" fillId="0" borderId="0" xfId="25" applyNumberFormat="1" applyFont="1" applyFill="1" applyBorder="1" applyAlignment="1">
      <alignment horizontal="center"/>
    </xf>
    <xf numFmtId="0" fontId="50" fillId="0" borderId="0" xfId="0" applyFont="1" applyBorder="1"/>
    <xf numFmtId="167" fontId="50" fillId="0" borderId="0" xfId="0" applyNumberFormat="1" applyFont="1" applyBorder="1"/>
    <xf numFmtId="169" fontId="5" fillId="2" borderId="1" xfId="0" applyNumberFormat="1" applyFont="1" applyFill="1" applyBorder="1"/>
    <xf numFmtId="167" fontId="5" fillId="3" borderId="1" xfId="0" applyNumberFormat="1" applyFont="1" applyFill="1" applyBorder="1"/>
    <xf numFmtId="167" fontId="5" fillId="2" borderId="1" xfId="0" applyNumberFormat="1" applyFont="1" applyFill="1" applyBorder="1"/>
    <xf numFmtId="167" fontId="0" fillId="3" borderId="0" xfId="0" applyNumberFormat="1" applyFill="1" applyBorder="1"/>
    <xf numFmtId="167" fontId="5" fillId="9" borderId="1" xfId="0" applyNumberFormat="1" applyFont="1" applyFill="1" applyBorder="1"/>
    <xf numFmtId="167" fontId="5" fillId="10" borderId="1" xfId="0" applyNumberFormat="1" applyFont="1" applyFill="1" applyBorder="1"/>
    <xf numFmtId="169" fontId="5" fillId="0" borderId="38" xfId="0" applyNumberFormat="1" applyFont="1" applyFill="1" applyBorder="1"/>
    <xf numFmtId="1" fontId="50" fillId="10" borderId="0" xfId="0" applyNumberFormat="1" applyFont="1" applyFill="1" applyBorder="1"/>
    <xf numFmtId="0" fontId="50" fillId="0" borderId="0" xfId="0" applyFont="1" applyFill="1" applyBorder="1"/>
    <xf numFmtId="167" fontId="50" fillId="0" borderId="0" xfId="0" applyNumberFormat="1" applyFont="1" applyFill="1" applyBorder="1"/>
    <xf numFmtId="0" fontId="50" fillId="0" borderId="0" xfId="0" applyFont="1" applyBorder="1" applyAlignment="1">
      <alignment horizontal="right"/>
    </xf>
    <xf numFmtId="167" fontId="50" fillId="0" borderId="0" xfId="11" applyNumberFormat="1" applyFont="1" applyBorder="1"/>
    <xf numFmtId="0" fontId="50" fillId="0" borderId="0" xfId="11" applyFont="1" applyBorder="1" applyAlignment="1">
      <alignment horizontal="right"/>
    </xf>
    <xf numFmtId="176" fontId="50" fillId="0" borderId="0" xfId="11" applyNumberFormat="1" applyFont="1" applyBorder="1"/>
    <xf numFmtId="0" fontId="5" fillId="10" borderId="8" xfId="0" applyFont="1" applyFill="1" applyBorder="1" applyAlignment="1">
      <alignment horizontal="center"/>
    </xf>
    <xf numFmtId="4" fontId="5" fillId="10" borderId="21" xfId="0" applyNumberFormat="1" applyFont="1" applyFill="1" applyBorder="1"/>
    <xf numFmtId="4" fontId="5" fillId="10" borderId="83" xfId="0" applyNumberFormat="1" applyFont="1" applyFill="1" applyBorder="1"/>
    <xf numFmtId="0" fontId="12" fillId="10" borderId="0" xfId="0" applyFont="1" applyFill="1" applyAlignment="1">
      <alignment horizontal="left"/>
    </xf>
    <xf numFmtId="0" fontId="50" fillId="0" borderId="0" xfId="11" applyFont="1" applyFill="1" applyBorder="1"/>
    <xf numFmtId="0" fontId="51" fillId="0" borderId="0" xfId="11" applyFont="1" applyFill="1" applyBorder="1" applyAlignment="1">
      <alignment horizontal="center"/>
    </xf>
    <xf numFmtId="0" fontId="50" fillId="4" borderId="0" xfId="11" applyFont="1" applyFill="1" applyBorder="1"/>
    <xf numFmtId="0" fontId="50" fillId="0" borderId="0" xfId="11" applyFont="1" applyFill="1" applyBorder="1" applyAlignment="1">
      <alignment horizontal="center"/>
    </xf>
    <xf numFmtId="168" fontId="50" fillId="0" borderId="0" xfId="11" applyNumberFormat="1" applyFont="1" applyBorder="1"/>
    <xf numFmtId="169" fontId="51" fillId="8" borderId="0" xfId="11" applyNumberFormat="1" applyFont="1" applyFill="1" applyBorder="1" applyAlignment="1">
      <alignment horizontal="center"/>
    </xf>
    <xf numFmtId="3" fontId="51" fillId="8" borderId="0" xfId="11" applyNumberFormat="1" applyFont="1" applyFill="1" applyBorder="1" applyAlignment="1">
      <alignment horizontal="center"/>
    </xf>
    <xf numFmtId="3" fontId="51" fillId="5" borderId="0" xfId="11" applyNumberFormat="1" applyFont="1" applyFill="1" applyBorder="1" applyAlignment="1">
      <alignment horizontal="center"/>
    </xf>
    <xf numFmtId="3" fontId="50" fillId="5" borderId="0" xfId="11" applyNumberFormat="1" applyFont="1" applyFill="1" applyBorder="1" applyAlignment="1">
      <alignment horizontal="center"/>
    </xf>
    <xf numFmtId="0" fontId="51" fillId="8" borderId="0" xfId="11" applyFont="1" applyFill="1" applyBorder="1" applyAlignment="1">
      <alignment horizontal="left"/>
    </xf>
    <xf numFmtId="0" fontId="51" fillId="8" borderId="0" xfId="11" applyFont="1" applyFill="1" applyBorder="1" applyAlignment="1">
      <alignment horizontal="center"/>
    </xf>
    <xf numFmtId="0" fontId="50" fillId="0" borderId="0" xfId="12" applyFont="1" applyBorder="1"/>
    <xf numFmtId="167" fontId="50" fillId="0" borderId="0" xfId="12" applyNumberFormat="1" applyFont="1" applyBorder="1"/>
    <xf numFmtId="0" fontId="50" fillId="0" borderId="0" xfId="12" applyFont="1" applyBorder="1" applyAlignment="1">
      <alignment horizontal="right"/>
    </xf>
    <xf numFmtId="0" fontId="65" fillId="0" borderId="3" xfId="0" applyFont="1" applyFill="1" applyBorder="1" applyAlignment="1">
      <alignment horizontal="center"/>
    </xf>
    <xf numFmtId="169" fontId="57" fillId="0" borderId="4" xfId="0" applyNumberFormat="1" applyFont="1" applyFill="1" applyBorder="1"/>
    <xf numFmtId="169" fontId="65" fillId="0" borderId="4" xfId="0" applyNumberFormat="1" applyFont="1" applyFill="1" applyBorder="1"/>
    <xf numFmtId="169" fontId="65" fillId="0" borderId="1" xfId="0" applyNumberFormat="1" applyFont="1" applyFill="1" applyBorder="1"/>
    <xf numFmtId="167" fontId="50" fillId="0" borderId="0" xfId="0" applyNumberFormat="1" applyFont="1" applyBorder="1" applyAlignment="1">
      <alignment horizontal="center"/>
    </xf>
    <xf numFmtId="0" fontId="51" fillId="0" borderId="0" xfId="0" applyFont="1" applyBorder="1"/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15" fillId="3" borderId="9" xfId="0" applyFont="1" applyFill="1" applyBorder="1" applyAlignment="1">
      <alignment vertical="center"/>
    </xf>
    <xf numFmtId="9" fontId="6" fillId="3" borderId="68" xfId="22" applyNumberFormat="1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vertical="center"/>
    </xf>
    <xf numFmtId="9" fontId="6" fillId="2" borderId="90" xfId="22" applyNumberFormat="1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vertical="center"/>
    </xf>
    <xf numFmtId="9" fontId="6" fillId="3" borderId="90" xfId="22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vertical="center"/>
    </xf>
    <xf numFmtId="9" fontId="6" fillId="2" borderId="91" xfId="22" applyFont="1" applyFill="1" applyBorder="1" applyAlignment="1">
      <alignment horizontal="center" vertical="center"/>
    </xf>
    <xf numFmtId="9" fontId="6" fillId="3" borderId="68" xfId="22" applyNumberFormat="1" applyFont="1" applyFill="1" applyBorder="1" applyAlignment="1">
      <alignment horizontal="right" vertical="center" indent="1"/>
    </xf>
    <xf numFmtId="9" fontId="6" fillId="3" borderId="92" xfId="22" applyNumberFormat="1" applyFont="1" applyFill="1" applyBorder="1" applyAlignment="1">
      <alignment horizontal="right" vertical="center" indent="1"/>
    </xf>
    <xf numFmtId="9" fontId="6" fillId="2" borderId="90" xfId="22" applyNumberFormat="1" applyFont="1" applyFill="1" applyBorder="1" applyAlignment="1">
      <alignment horizontal="right" vertical="center" indent="1"/>
    </xf>
    <xf numFmtId="9" fontId="6" fillId="2" borderId="93" xfId="22" applyNumberFormat="1" applyFont="1" applyFill="1" applyBorder="1" applyAlignment="1">
      <alignment horizontal="right" vertical="center" indent="1"/>
    </xf>
    <xf numFmtId="9" fontId="6" fillId="3" borderId="90" xfId="22" applyFont="1" applyFill="1" applyBorder="1" applyAlignment="1">
      <alignment horizontal="right" vertical="center" indent="1"/>
    </xf>
    <xf numFmtId="9" fontId="6" fillId="3" borderId="93" xfId="22" applyFont="1" applyFill="1" applyBorder="1" applyAlignment="1">
      <alignment horizontal="right" vertical="center" indent="1"/>
    </xf>
    <xf numFmtId="9" fontId="6" fillId="2" borderId="91" xfId="22" applyFont="1" applyFill="1" applyBorder="1" applyAlignment="1">
      <alignment horizontal="right" vertical="center" indent="1"/>
    </xf>
    <xf numFmtId="9" fontId="6" fillId="2" borderId="94" xfId="22" applyFont="1" applyFill="1" applyBorder="1" applyAlignment="1">
      <alignment horizontal="right" vertical="center" indent="1"/>
    </xf>
    <xf numFmtId="9" fontId="6" fillId="3" borderId="68" xfId="22" applyNumberFormat="1" applyFont="1" applyFill="1" applyBorder="1" applyAlignment="1">
      <alignment horizontal="right" indent="1"/>
    </xf>
    <xf numFmtId="9" fontId="6" fillId="2" borderId="90" xfId="22" applyNumberFormat="1" applyFont="1" applyFill="1" applyBorder="1" applyAlignment="1">
      <alignment horizontal="right" indent="1"/>
    </xf>
    <xf numFmtId="9" fontId="6" fillId="3" borderId="90" xfId="22" applyFont="1" applyFill="1" applyBorder="1" applyAlignment="1">
      <alignment horizontal="right" indent="1"/>
    </xf>
    <xf numFmtId="9" fontId="6" fillId="2" borderId="91" xfId="22" applyFont="1" applyFill="1" applyBorder="1" applyAlignment="1">
      <alignment horizontal="right" indent="1"/>
    </xf>
    <xf numFmtId="0" fontId="50" fillId="0" borderId="0" xfId="0" quotePrefix="1" applyFont="1" applyBorder="1" applyAlignment="1">
      <alignment horizontal="right"/>
    </xf>
    <xf numFmtId="0" fontId="50" fillId="0" borderId="0" xfId="0" applyFont="1" applyBorder="1" applyAlignment="1">
      <alignment vertical="center"/>
    </xf>
    <xf numFmtId="0" fontId="12" fillId="0" borderId="0" xfId="0" applyFont="1"/>
    <xf numFmtId="9" fontId="6" fillId="3" borderId="97" xfId="22" applyNumberFormat="1" applyFont="1" applyFill="1" applyBorder="1" applyAlignment="1">
      <alignment horizontal="right"/>
    </xf>
    <xf numFmtId="9" fontId="6" fillId="2" borderId="98" xfId="22" applyNumberFormat="1" applyFont="1" applyFill="1" applyBorder="1" applyAlignment="1">
      <alignment horizontal="right"/>
    </xf>
    <xf numFmtId="9" fontId="6" fillId="3" borderId="98" xfId="22" applyNumberFormat="1" applyFont="1" applyFill="1" applyBorder="1" applyAlignment="1">
      <alignment horizontal="right"/>
    </xf>
    <xf numFmtId="9" fontId="6" fillId="2" borderId="99" xfId="22" applyNumberFormat="1" applyFont="1" applyFill="1" applyBorder="1" applyAlignment="1">
      <alignment horizontal="right"/>
    </xf>
    <xf numFmtId="169" fontId="5" fillId="2" borderId="100" xfId="12" applyNumberFormat="1" applyFont="1" applyFill="1" applyBorder="1"/>
    <xf numFmtId="169" fontId="5" fillId="2" borderId="101" xfId="12" applyNumberFormat="1" applyFont="1" applyFill="1" applyBorder="1"/>
    <xf numFmtId="169" fontId="5" fillId="3" borderId="102" xfId="12" applyNumberFormat="1" applyFont="1" applyFill="1" applyBorder="1"/>
    <xf numFmtId="169" fontId="5" fillId="3" borderId="103" xfId="12" applyNumberFormat="1" applyFont="1" applyFill="1" applyBorder="1"/>
    <xf numFmtId="9" fontId="6" fillId="3" borderId="104" xfId="22" applyNumberFormat="1" applyFont="1" applyFill="1" applyBorder="1" applyAlignment="1">
      <alignment horizontal="right" vertical="center" indent="1"/>
    </xf>
    <xf numFmtId="9" fontId="6" fillId="2" borderId="105" xfId="22" applyNumberFormat="1" applyFont="1" applyFill="1" applyBorder="1" applyAlignment="1">
      <alignment horizontal="right" vertical="center" indent="1"/>
    </xf>
    <xf numFmtId="9" fontId="6" fillId="3" borderId="105" xfId="22" applyFont="1" applyFill="1" applyBorder="1" applyAlignment="1">
      <alignment horizontal="right" vertical="center" indent="1"/>
    </xf>
    <xf numFmtId="9" fontId="6" fillId="2" borderId="106" xfId="22" applyFont="1" applyFill="1" applyBorder="1" applyAlignment="1">
      <alignment horizontal="right" vertical="center" indent="1"/>
    </xf>
    <xf numFmtId="9" fontId="6" fillId="3" borderId="107" xfId="22" applyNumberFormat="1" applyFont="1" applyFill="1" applyBorder="1" applyAlignment="1">
      <alignment horizontal="right" vertical="center" indent="1"/>
    </xf>
    <xf numFmtId="9" fontId="6" fillId="2" borderId="108" xfId="22" applyNumberFormat="1" applyFont="1" applyFill="1" applyBorder="1" applyAlignment="1">
      <alignment horizontal="right" vertical="center" indent="1"/>
    </xf>
    <xf numFmtId="9" fontId="6" fillId="3" borderId="108" xfId="22" applyFont="1" applyFill="1" applyBorder="1" applyAlignment="1">
      <alignment horizontal="right" vertical="center" indent="1"/>
    </xf>
    <xf numFmtId="9" fontId="6" fillId="2" borderId="70" xfId="22" applyFont="1" applyFill="1" applyBorder="1" applyAlignment="1">
      <alignment horizontal="right" vertical="center" indent="1"/>
    </xf>
    <xf numFmtId="169" fontId="5" fillId="2" borderId="41" xfId="12" applyNumberFormat="1" applyFont="1" applyFill="1" applyBorder="1"/>
    <xf numFmtId="169" fontId="5" fillId="2" borderId="109" xfId="12" applyNumberFormat="1" applyFont="1" applyFill="1" applyBorder="1"/>
    <xf numFmtId="169" fontId="5" fillId="3" borderId="110" xfId="12" applyNumberFormat="1" applyFont="1" applyFill="1" applyBorder="1"/>
    <xf numFmtId="9" fontId="6" fillId="3" borderId="111" xfId="22" applyNumberFormat="1" applyFont="1" applyFill="1" applyBorder="1" applyAlignment="1">
      <alignment horizontal="right" vertical="center" indent="1"/>
    </xf>
    <xf numFmtId="9" fontId="6" fillId="2" borderId="112" xfId="22" applyNumberFormat="1" applyFont="1" applyFill="1" applyBorder="1" applyAlignment="1">
      <alignment horizontal="right" vertical="center" indent="1"/>
    </xf>
    <xf numFmtId="9" fontId="6" fillId="3" borderId="112" xfId="22" applyFont="1" applyFill="1" applyBorder="1" applyAlignment="1">
      <alignment horizontal="right" vertical="center" indent="1"/>
    </xf>
    <xf numFmtId="9" fontId="6" fillId="2" borderId="113" xfId="22" applyFont="1" applyFill="1" applyBorder="1" applyAlignment="1">
      <alignment horizontal="right" vertical="center" indent="1"/>
    </xf>
    <xf numFmtId="169" fontId="65" fillId="0" borderId="102" xfId="0" applyNumberFormat="1" applyFont="1" applyFill="1" applyBorder="1"/>
    <xf numFmtId="169" fontId="65" fillId="0" borderId="103" xfId="0" applyNumberFormat="1" applyFont="1" applyFill="1" applyBorder="1"/>
    <xf numFmtId="169" fontId="0" fillId="0" borderId="102" xfId="0" applyNumberFormat="1" applyFill="1" applyBorder="1"/>
    <xf numFmtId="169" fontId="0" fillId="0" borderId="103" xfId="0" applyNumberFormat="1" applyFill="1" applyBorder="1"/>
    <xf numFmtId="168" fontId="0" fillId="0" borderId="102" xfId="0" applyNumberFormat="1" applyFill="1" applyBorder="1"/>
    <xf numFmtId="169" fontId="0" fillId="10" borderId="103" xfId="0" applyNumberFormat="1" applyFill="1" applyBorder="1"/>
    <xf numFmtId="168" fontId="0" fillId="0" borderId="116" xfId="0" applyNumberFormat="1" applyFill="1" applyBorder="1"/>
    <xf numFmtId="169" fontId="0" fillId="0" borderId="117" xfId="0" applyNumberFormat="1" applyFill="1" applyBorder="1"/>
    <xf numFmtId="9" fontId="6" fillId="3" borderId="104" xfId="22" applyNumberFormat="1" applyFont="1" applyFill="1" applyBorder="1" applyAlignment="1">
      <alignment horizontal="right"/>
    </xf>
    <xf numFmtId="9" fontId="6" fillId="3" borderId="92" xfId="22" applyNumberFormat="1" applyFont="1" applyFill="1" applyBorder="1" applyAlignment="1">
      <alignment horizontal="right"/>
    </xf>
    <xf numFmtId="9" fontId="6" fillId="2" borderId="105" xfId="22" applyNumberFormat="1" applyFont="1" applyFill="1" applyBorder="1" applyAlignment="1">
      <alignment horizontal="right"/>
    </xf>
    <xf numFmtId="9" fontId="6" fillId="2" borderId="93" xfId="22" applyNumberFormat="1" applyFont="1" applyFill="1" applyBorder="1" applyAlignment="1">
      <alignment horizontal="right"/>
    </xf>
    <xf numFmtId="9" fontId="6" fillId="3" borderId="105" xfId="22" applyNumberFormat="1" applyFont="1" applyFill="1" applyBorder="1" applyAlignment="1">
      <alignment horizontal="right"/>
    </xf>
    <xf numFmtId="9" fontId="6" fillId="3" borderId="93" xfId="22" applyNumberFormat="1" applyFont="1" applyFill="1" applyBorder="1" applyAlignment="1">
      <alignment horizontal="right"/>
    </xf>
    <xf numFmtId="9" fontId="6" fillId="2" borderId="106" xfId="22" applyNumberFormat="1" applyFont="1" applyFill="1" applyBorder="1" applyAlignment="1">
      <alignment horizontal="right"/>
    </xf>
    <xf numFmtId="9" fontId="6" fillId="2" borderId="94" xfId="22" applyNumberFormat="1" applyFont="1" applyFill="1" applyBorder="1" applyAlignment="1">
      <alignment horizontal="right"/>
    </xf>
    <xf numFmtId="169" fontId="65" fillId="0" borderId="110" xfId="0" applyNumberFormat="1" applyFont="1" applyFill="1" applyBorder="1"/>
    <xf numFmtId="169" fontId="0" fillId="0" borderId="110" xfId="0" applyNumberFormat="1" applyFill="1" applyBorder="1"/>
    <xf numFmtId="169" fontId="0" fillId="10" borderId="102" xfId="0" applyNumberFormat="1" applyFill="1" applyBorder="1"/>
    <xf numFmtId="169" fontId="0" fillId="10" borderId="110" xfId="0" applyNumberFormat="1" applyFill="1" applyBorder="1"/>
    <xf numFmtId="169" fontId="0" fillId="0" borderId="116" xfId="0" applyNumberFormat="1" applyFill="1" applyBorder="1"/>
    <xf numFmtId="169" fontId="0" fillId="0" borderId="119" xfId="0" applyNumberFormat="1" applyFill="1" applyBorder="1"/>
    <xf numFmtId="0" fontId="0" fillId="10" borderId="0" xfId="0" applyFill="1" applyAlignment="1">
      <alignment horizontal="centerContinuous"/>
    </xf>
    <xf numFmtId="0" fontId="2" fillId="10" borderId="0" xfId="0" applyFont="1" applyFill="1" applyAlignment="1">
      <alignment horizontal="left"/>
    </xf>
    <xf numFmtId="0" fontId="0" fillId="10" borderId="3" xfId="0" applyFill="1" applyBorder="1" applyAlignment="1">
      <alignment horizontal="center" vertical="center"/>
    </xf>
    <xf numFmtId="0" fontId="0" fillId="10" borderId="0" xfId="0" applyFill="1" applyBorder="1" applyAlignment="1">
      <alignment horizontal="right"/>
    </xf>
    <xf numFmtId="0" fontId="15" fillId="10" borderId="55" xfId="0" applyFont="1" applyFill="1" applyBorder="1"/>
    <xf numFmtId="0" fontId="0" fillId="10" borderId="0" xfId="0" applyFill="1" applyAlignment="1">
      <alignment horizontal="right"/>
    </xf>
    <xf numFmtId="0" fontId="15" fillId="10" borderId="56" xfId="0" applyFont="1" applyFill="1" applyBorder="1"/>
    <xf numFmtId="0" fontId="14" fillId="10" borderId="0" xfId="0" applyFont="1" applyFill="1"/>
    <xf numFmtId="169" fontId="0" fillId="10" borderId="0" xfId="0" applyNumberFormat="1" applyFill="1"/>
    <xf numFmtId="0" fontId="13" fillId="10" borderId="0" xfId="0" applyFont="1" applyFill="1"/>
    <xf numFmtId="0" fontId="0" fillId="10" borderId="49" xfId="0" applyFill="1" applyBorder="1" applyAlignment="1">
      <alignment horizontal="center" vertical="center"/>
    </xf>
    <xf numFmtId="4" fontId="0" fillId="10" borderId="2" xfId="0" applyNumberFormat="1" applyFill="1" applyBorder="1" applyAlignment="1">
      <alignment vertical="center"/>
    </xf>
    <xf numFmtId="9" fontId="15" fillId="10" borderId="2" xfId="19" applyFont="1" applyFill="1" applyBorder="1" applyAlignment="1">
      <alignment vertical="center"/>
    </xf>
    <xf numFmtId="4" fontId="0" fillId="10" borderId="46" xfId="0" applyNumberFormat="1" applyFill="1" applyBorder="1" applyAlignment="1">
      <alignment vertical="center"/>
    </xf>
    <xf numFmtId="0" fontId="5" fillId="10" borderId="49" xfId="0" applyFont="1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169" fontId="0" fillId="10" borderId="2" xfId="0" applyNumberFormat="1" applyFill="1" applyBorder="1" applyAlignment="1">
      <alignment vertical="center"/>
    </xf>
    <xf numFmtId="9" fontId="15" fillId="10" borderId="36" xfId="19" applyFont="1" applyFill="1" applyBorder="1" applyAlignment="1">
      <alignment vertical="center"/>
    </xf>
    <xf numFmtId="169" fontId="0" fillId="10" borderId="46" xfId="0" applyNumberFormat="1" applyFill="1" applyBorder="1" applyAlignment="1">
      <alignment vertical="center"/>
    </xf>
    <xf numFmtId="0" fontId="15" fillId="10" borderId="69" xfId="0" applyFont="1" applyFill="1" applyBorder="1"/>
    <xf numFmtId="0" fontId="15" fillId="10" borderId="91" xfId="0" applyFont="1" applyFill="1" applyBorder="1"/>
    <xf numFmtId="169" fontId="0" fillId="10" borderId="1" xfId="0" applyNumberFormat="1" applyFill="1" applyBorder="1" applyAlignment="1">
      <alignment vertical="center"/>
    </xf>
    <xf numFmtId="9" fontId="15" fillId="10" borderId="120" xfId="19" applyFont="1" applyFill="1" applyBorder="1" applyAlignment="1">
      <alignment vertical="center"/>
    </xf>
    <xf numFmtId="9" fontId="15" fillId="10" borderId="110" xfId="19" applyFont="1" applyFill="1" applyBorder="1" applyAlignment="1">
      <alignment vertical="center"/>
    </xf>
    <xf numFmtId="9" fontId="15" fillId="10" borderId="119" xfId="19" applyFont="1" applyFill="1" applyBorder="1" applyAlignment="1">
      <alignment vertical="center"/>
    </xf>
    <xf numFmtId="0" fontId="0" fillId="9" borderId="49" xfId="0" applyFill="1" applyBorder="1" applyAlignment="1">
      <alignment horizontal="center" vertical="center"/>
    </xf>
    <xf numFmtId="9" fontId="15" fillId="9" borderId="110" xfId="19" applyFont="1" applyFill="1" applyBorder="1" applyAlignment="1">
      <alignment vertical="center"/>
    </xf>
    <xf numFmtId="4" fontId="0" fillId="9" borderId="2" xfId="0" applyNumberFormat="1" applyFill="1" applyBorder="1" applyAlignment="1">
      <alignment vertical="center"/>
    </xf>
    <xf numFmtId="9" fontId="15" fillId="9" borderId="2" xfId="19" applyFont="1" applyFill="1" applyBorder="1" applyAlignment="1">
      <alignment vertical="center"/>
    </xf>
    <xf numFmtId="4" fontId="0" fillId="9" borderId="46" xfId="0" applyNumberFormat="1" applyFill="1" applyBorder="1" applyAlignment="1">
      <alignment vertical="center"/>
    </xf>
    <xf numFmtId="0" fontId="15" fillId="9" borderId="68" xfId="0" applyFont="1" applyFill="1" applyBorder="1"/>
    <xf numFmtId="0" fontId="15" fillId="9" borderId="69" xfId="0" applyFont="1" applyFill="1" applyBorder="1"/>
    <xf numFmtId="9" fontId="6" fillId="9" borderId="121" xfId="22" applyNumberFormat="1" applyFont="1" applyFill="1" applyBorder="1" applyAlignment="1">
      <alignment horizontal="right"/>
    </xf>
    <xf numFmtId="165" fontId="6" fillId="9" borderId="122" xfId="19" applyNumberFormat="1" applyFont="1" applyFill="1" applyBorder="1" applyAlignment="1">
      <alignment horizontal="right" vertical="center"/>
    </xf>
    <xf numFmtId="9" fontId="6" fillId="9" borderId="123" xfId="22" applyNumberFormat="1" applyFont="1" applyFill="1" applyBorder="1" applyAlignment="1">
      <alignment horizontal="right"/>
    </xf>
    <xf numFmtId="165" fontId="6" fillId="9" borderId="123" xfId="19" applyNumberFormat="1" applyFont="1" applyFill="1" applyBorder="1" applyAlignment="1">
      <alignment horizontal="right" vertical="center"/>
    </xf>
    <xf numFmtId="9" fontId="6" fillId="9" borderId="124" xfId="22" applyNumberFormat="1" applyFont="1" applyFill="1" applyBorder="1" applyAlignment="1">
      <alignment horizontal="right"/>
    </xf>
    <xf numFmtId="9" fontId="6" fillId="10" borderId="125" xfId="22" applyNumberFormat="1" applyFont="1" applyFill="1" applyBorder="1" applyAlignment="1">
      <alignment horizontal="right"/>
    </xf>
    <xf numFmtId="165" fontId="6" fillId="10" borderId="126" xfId="19" applyNumberFormat="1" applyFont="1" applyFill="1" applyBorder="1" applyAlignment="1">
      <alignment horizontal="right" vertical="center"/>
    </xf>
    <xf numFmtId="9" fontId="6" fillId="10" borderId="127" xfId="22" applyNumberFormat="1" applyFont="1" applyFill="1" applyBorder="1" applyAlignment="1">
      <alignment horizontal="right"/>
    </xf>
    <xf numFmtId="165" fontId="6" fillId="10" borderId="127" xfId="19" applyNumberFormat="1" applyFont="1" applyFill="1" applyBorder="1" applyAlignment="1">
      <alignment horizontal="right" vertical="center"/>
    </xf>
    <xf numFmtId="9" fontId="6" fillId="10" borderId="128" xfId="22" applyNumberFormat="1" applyFont="1" applyFill="1" applyBorder="1" applyAlignment="1">
      <alignment horizontal="right"/>
    </xf>
    <xf numFmtId="9" fontId="6" fillId="9" borderId="125" xfId="22" applyFont="1" applyFill="1" applyBorder="1" applyAlignment="1">
      <alignment horizontal="right"/>
    </xf>
    <xf numFmtId="165" fontId="6" fillId="9" borderId="126" xfId="19" applyNumberFormat="1" applyFont="1" applyFill="1" applyBorder="1" applyAlignment="1">
      <alignment horizontal="right" vertical="center"/>
    </xf>
    <xf numFmtId="9" fontId="6" fillId="9" borderId="127" xfId="22" applyFont="1" applyFill="1" applyBorder="1" applyAlignment="1">
      <alignment horizontal="right"/>
    </xf>
    <xf numFmtId="165" fontId="6" fillId="9" borderId="127" xfId="19" applyNumberFormat="1" applyFont="1" applyFill="1" applyBorder="1" applyAlignment="1">
      <alignment horizontal="right" vertical="center"/>
    </xf>
    <xf numFmtId="9" fontId="6" fillId="9" borderId="128" xfId="22" applyFont="1" applyFill="1" applyBorder="1" applyAlignment="1">
      <alignment horizontal="right"/>
    </xf>
    <xf numFmtId="9" fontId="6" fillId="10" borderId="129" xfId="22" applyFont="1" applyFill="1" applyBorder="1" applyAlignment="1">
      <alignment horizontal="right"/>
    </xf>
    <xf numFmtId="165" fontId="6" fillId="10" borderId="130" xfId="19" applyNumberFormat="1" applyFont="1" applyFill="1" applyBorder="1" applyAlignment="1">
      <alignment horizontal="right" vertical="center"/>
    </xf>
    <xf numFmtId="9" fontId="6" fillId="10" borderId="131" xfId="22" applyFont="1" applyFill="1" applyBorder="1" applyAlignment="1">
      <alignment horizontal="right"/>
    </xf>
    <xf numFmtId="165" fontId="6" fillId="10" borderId="131" xfId="19" applyNumberFormat="1" applyFont="1" applyFill="1" applyBorder="1" applyAlignment="1">
      <alignment horizontal="right" vertical="center"/>
    </xf>
    <xf numFmtId="9" fontId="6" fillId="10" borderId="132" xfId="22" applyFont="1" applyFill="1" applyBorder="1" applyAlignment="1">
      <alignment horizontal="right"/>
    </xf>
    <xf numFmtId="0" fontId="57" fillId="10" borderId="4" xfId="0" applyFont="1" applyFill="1" applyBorder="1" applyAlignment="1">
      <alignment horizontal="center" vertical="center"/>
    </xf>
    <xf numFmtId="0" fontId="57" fillId="10" borderId="1" xfId="0" applyFont="1" applyFill="1" applyBorder="1" applyAlignment="1">
      <alignment horizontal="center" vertical="center"/>
    </xf>
    <xf numFmtId="0" fontId="65" fillId="10" borderId="133" xfId="0" applyFont="1" applyFill="1" applyBorder="1"/>
    <xf numFmtId="0" fontId="57" fillId="10" borderId="3" xfId="0" applyFont="1" applyFill="1" applyBorder="1" applyAlignment="1">
      <alignment horizontal="center" vertical="center"/>
    </xf>
    <xf numFmtId="169" fontId="50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7" fillId="10" borderId="2" xfId="0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right" vertical="center" indent="1"/>
    </xf>
    <xf numFmtId="4" fontId="0" fillId="0" borderId="1" xfId="0" applyNumberFormat="1" applyFill="1" applyBorder="1" applyAlignment="1">
      <alignment horizontal="right" vertical="center" indent="1"/>
    </xf>
    <xf numFmtId="4" fontId="0" fillId="10" borderId="4" xfId="0" applyNumberFormat="1" applyFill="1" applyBorder="1" applyAlignment="1">
      <alignment horizontal="right" vertical="center" indent="1"/>
    </xf>
    <xf numFmtId="4" fontId="0" fillId="10" borderId="1" xfId="0" applyNumberFormat="1" applyFill="1" applyBorder="1" applyAlignment="1">
      <alignment horizontal="right" vertical="center" indent="1"/>
    </xf>
    <xf numFmtId="4" fontId="0" fillId="10" borderId="2" xfId="0" applyNumberFormat="1" applyFill="1" applyBorder="1" applyAlignment="1">
      <alignment horizontal="right" vertical="center" indent="1"/>
    </xf>
    <xf numFmtId="4" fontId="0" fillId="10" borderId="133" xfId="0" applyNumberFormat="1" applyFill="1" applyBorder="1" applyAlignment="1">
      <alignment horizontal="right" vertical="center" indent="1"/>
    </xf>
    <xf numFmtId="9" fontId="6" fillId="10" borderId="90" xfId="22" applyNumberFormat="1" applyFont="1" applyFill="1" applyBorder="1" applyAlignment="1">
      <alignment horizontal="right" indent="1"/>
    </xf>
    <xf numFmtId="9" fontId="6" fillId="10" borderId="91" xfId="22" applyFont="1" applyFill="1" applyBorder="1" applyAlignment="1">
      <alignment horizontal="right" indent="1"/>
    </xf>
    <xf numFmtId="0" fontId="19" fillId="10" borderId="0" xfId="0" applyFont="1" applyFill="1"/>
    <xf numFmtId="4" fontId="0" fillId="9" borderId="4" xfId="0" applyNumberFormat="1" applyFill="1" applyBorder="1" applyAlignment="1">
      <alignment horizontal="right" vertical="center" indent="1"/>
    </xf>
    <xf numFmtId="4" fontId="0" fillId="9" borderId="1" xfId="0" applyNumberFormat="1" applyFill="1" applyBorder="1" applyAlignment="1">
      <alignment horizontal="right" vertical="center" indent="1"/>
    </xf>
    <xf numFmtId="4" fontId="0" fillId="9" borderId="2" xfId="0" applyNumberFormat="1" applyFill="1" applyBorder="1" applyAlignment="1">
      <alignment horizontal="right" vertical="center" indent="1"/>
    </xf>
    <xf numFmtId="4" fontId="0" fillId="9" borderId="133" xfId="0" applyNumberFormat="1" applyFill="1" applyBorder="1" applyAlignment="1">
      <alignment horizontal="right" vertical="center" indent="1"/>
    </xf>
    <xf numFmtId="4" fontId="0" fillId="10" borderId="0" xfId="0" applyNumberFormat="1" applyFill="1" applyBorder="1" applyAlignment="1">
      <alignment horizontal="right" vertical="center" indent="1"/>
    </xf>
    <xf numFmtId="4" fontId="0" fillId="10" borderId="54" xfId="0" applyNumberFormat="1" applyFill="1" applyBorder="1" applyAlignment="1">
      <alignment horizontal="right" vertical="center" indent="1"/>
    </xf>
    <xf numFmtId="0" fontId="15" fillId="9" borderId="9" xfId="0" applyFont="1" applyFill="1" applyBorder="1"/>
    <xf numFmtId="9" fontId="6" fillId="9" borderId="68" xfId="22" applyNumberFormat="1" applyFont="1" applyFill="1" applyBorder="1" applyAlignment="1">
      <alignment horizontal="right" indent="1"/>
    </xf>
    <xf numFmtId="0" fontId="15" fillId="9" borderId="55" xfId="0" applyFont="1" applyFill="1" applyBorder="1"/>
    <xf numFmtId="9" fontId="6" fillId="9" borderId="90" xfId="22" applyFont="1" applyFill="1" applyBorder="1" applyAlignment="1">
      <alignment horizontal="right" indent="1"/>
    </xf>
    <xf numFmtId="9" fontId="6" fillId="9" borderId="97" xfId="22" applyNumberFormat="1" applyFont="1" applyFill="1" applyBorder="1" applyAlignment="1">
      <alignment horizontal="right" indent="1"/>
    </xf>
    <xf numFmtId="9" fontId="6" fillId="9" borderId="134" xfId="22" applyNumberFormat="1" applyFont="1" applyFill="1" applyBorder="1" applyAlignment="1">
      <alignment horizontal="right" indent="1"/>
    </xf>
    <xf numFmtId="9" fontId="6" fillId="10" borderId="98" xfId="22" applyNumberFormat="1" applyFont="1" applyFill="1" applyBorder="1" applyAlignment="1">
      <alignment horizontal="right" indent="1"/>
    </xf>
    <xf numFmtId="9" fontId="6" fillId="10" borderId="135" xfId="22" applyNumberFormat="1" applyFont="1" applyFill="1" applyBorder="1" applyAlignment="1">
      <alignment horizontal="right" indent="1"/>
    </xf>
    <xf numFmtId="9" fontId="6" fillId="9" borderId="98" xfId="22" applyFont="1" applyFill="1" applyBorder="1" applyAlignment="1">
      <alignment horizontal="right" indent="1"/>
    </xf>
    <xf numFmtId="9" fontId="6" fillId="9" borderId="135" xfId="22" applyFont="1" applyFill="1" applyBorder="1" applyAlignment="1">
      <alignment horizontal="right" indent="1"/>
    </xf>
    <xf numFmtId="9" fontId="6" fillId="10" borderId="99" xfId="22" applyFont="1" applyFill="1" applyBorder="1" applyAlignment="1">
      <alignment horizontal="right" indent="1"/>
    </xf>
    <xf numFmtId="9" fontId="6" fillId="10" borderId="136" xfId="22" applyFont="1" applyFill="1" applyBorder="1" applyAlignment="1">
      <alignment horizontal="right" indent="1"/>
    </xf>
    <xf numFmtId="169" fontId="0" fillId="2" borderId="4" xfId="0" applyNumberFormat="1" applyFill="1" applyBorder="1" applyAlignment="1">
      <alignment horizontal="right" vertical="center" indent="1"/>
    </xf>
    <xf numFmtId="169" fontId="0" fillId="2" borderId="1" xfId="0" applyNumberFormat="1" applyFill="1" applyBorder="1" applyAlignment="1">
      <alignment horizontal="right" vertical="center" indent="1"/>
    </xf>
    <xf numFmtId="169" fontId="0" fillId="2" borderId="3" xfId="0" applyNumberFormat="1" applyFill="1" applyBorder="1" applyAlignment="1">
      <alignment horizontal="right" vertical="center" indent="1"/>
    </xf>
    <xf numFmtId="4" fontId="0" fillId="9" borderId="3" xfId="0" applyNumberFormat="1" applyFill="1" applyBorder="1" applyAlignment="1">
      <alignment horizontal="right" vertical="center" indent="1"/>
    </xf>
    <xf numFmtId="4" fontId="0" fillId="2" borderId="3" xfId="0" applyNumberFormat="1" applyFill="1" applyBorder="1" applyAlignment="1">
      <alignment horizontal="right" vertical="center" indent="1"/>
    </xf>
    <xf numFmtId="4" fontId="0" fillId="0" borderId="3" xfId="0" applyNumberFormat="1" applyFill="1" applyBorder="1" applyAlignment="1">
      <alignment horizontal="right" vertical="center" indent="1"/>
    </xf>
    <xf numFmtId="9" fontId="6" fillId="3" borderId="137" xfId="22" applyNumberFormat="1" applyFont="1" applyFill="1" applyBorder="1" applyAlignment="1">
      <alignment horizontal="right" indent="1"/>
    </xf>
    <xf numFmtId="9" fontId="6" fillId="3" borderId="9" xfId="22" applyNumberFormat="1" applyFont="1" applyFill="1" applyBorder="1" applyAlignment="1">
      <alignment horizontal="right" indent="1"/>
    </xf>
    <xf numFmtId="9" fontId="6" fillId="2" borderId="138" xfId="22" applyNumberFormat="1" applyFont="1" applyFill="1" applyBorder="1" applyAlignment="1">
      <alignment horizontal="right" indent="1"/>
    </xf>
    <xf numFmtId="9" fontId="6" fillId="2" borderId="63" xfId="22" applyNumberFormat="1" applyFont="1" applyFill="1" applyBorder="1" applyAlignment="1">
      <alignment horizontal="right" indent="1"/>
    </xf>
    <xf numFmtId="9" fontId="6" fillId="3" borderId="138" xfId="22" applyFont="1" applyFill="1" applyBorder="1" applyAlignment="1">
      <alignment horizontal="right" indent="1"/>
    </xf>
    <xf numFmtId="9" fontId="6" fillId="3" borderId="63" xfId="22" applyFont="1" applyFill="1" applyBorder="1" applyAlignment="1">
      <alignment horizontal="right" indent="1"/>
    </xf>
    <xf numFmtId="9" fontId="6" fillId="2" borderId="139" xfId="22" applyFont="1" applyFill="1" applyBorder="1" applyAlignment="1">
      <alignment horizontal="right" indent="1"/>
    </xf>
    <xf numFmtId="9" fontId="6" fillId="2" borderId="56" xfId="22" applyFont="1" applyFill="1" applyBorder="1" applyAlignment="1">
      <alignment horizontal="right" indent="1"/>
    </xf>
    <xf numFmtId="0" fontId="12" fillId="0" borderId="0" xfId="0" applyFont="1" applyBorder="1"/>
    <xf numFmtId="0" fontId="3" fillId="10" borderId="4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16" fillId="10" borderId="4" xfId="0" applyFont="1" applyFill="1" applyBorder="1" applyAlignment="1">
      <alignment vertical="center"/>
    </xf>
    <xf numFmtId="3" fontId="3" fillId="10" borderId="1" xfId="0" applyNumberFormat="1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 wrapText="1"/>
    </xf>
    <xf numFmtId="0" fontId="3" fillId="10" borderId="133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right" vertical="center" indent="1"/>
    </xf>
    <xf numFmtId="0" fontId="16" fillId="10" borderId="133" xfId="0" applyFont="1" applyFill="1" applyBorder="1" applyAlignment="1">
      <alignment vertical="center"/>
    </xf>
    <xf numFmtId="3" fontId="3" fillId="10" borderId="3" xfId="0" applyNumberFormat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3" fontId="3" fillId="10" borderId="3" xfId="0" applyNumberFormat="1" applyFont="1" applyFill="1" applyBorder="1" applyAlignment="1">
      <alignment horizontal="center" vertical="center"/>
    </xf>
    <xf numFmtId="3" fontId="0" fillId="10" borderId="3" xfId="0" applyNumberFormat="1" applyFill="1" applyBorder="1" applyAlignment="1">
      <alignment horizontal="right" vertical="center" indent="1"/>
    </xf>
    <xf numFmtId="0" fontId="0" fillId="10" borderId="1" xfId="0" applyFill="1" applyBorder="1" applyAlignment="1">
      <alignment horizontal="right" vertical="center" indent="1"/>
    </xf>
    <xf numFmtId="0" fontId="0" fillId="10" borderId="3" xfId="0" applyFill="1" applyBorder="1" applyAlignment="1">
      <alignment horizontal="right" vertical="center" indent="1"/>
    </xf>
    <xf numFmtId="3" fontId="0" fillId="10" borderId="1" xfId="0" applyNumberFormat="1" applyFill="1" applyBorder="1" applyAlignment="1">
      <alignment horizontal="right" vertical="center" indent="1"/>
    </xf>
    <xf numFmtId="9" fontId="44" fillId="10" borderId="133" xfId="19" applyFont="1" applyFill="1" applyBorder="1" applyAlignment="1">
      <alignment horizontal="right" vertical="center" indent="1"/>
    </xf>
    <xf numFmtId="3" fontId="0" fillId="10" borderId="6" xfId="0" applyNumberFormat="1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10" borderId="38" xfId="0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3" fontId="0" fillId="10" borderId="38" xfId="0" applyNumberFormat="1" applyFill="1" applyBorder="1" applyAlignment="1">
      <alignment vertical="center"/>
    </xf>
    <xf numFmtId="9" fontId="44" fillId="10" borderId="76" xfId="19" applyFont="1" applyFill="1" applyBorder="1" applyAlignment="1">
      <alignment horizontal="right" vertical="center"/>
    </xf>
    <xf numFmtId="3" fontId="0" fillId="9" borderId="3" xfId="0" applyNumberFormat="1" applyFill="1" applyBorder="1" applyAlignment="1">
      <alignment horizontal="right" vertical="center" indent="1"/>
    </xf>
    <xf numFmtId="0" fontId="0" fillId="9" borderId="0" xfId="0" applyFill="1" applyBorder="1" applyAlignment="1">
      <alignment horizontal="right" vertical="center" indent="1"/>
    </xf>
    <xf numFmtId="0" fontId="0" fillId="9" borderId="1" xfId="0" applyFill="1" applyBorder="1" applyAlignment="1">
      <alignment horizontal="right" vertical="center" indent="1"/>
    </xf>
    <xf numFmtId="0" fontId="0" fillId="9" borderId="3" xfId="0" applyFill="1" applyBorder="1" applyAlignment="1">
      <alignment horizontal="right" vertical="center" indent="1"/>
    </xf>
    <xf numFmtId="3" fontId="0" fillId="9" borderId="1" xfId="0" applyNumberFormat="1" applyFill="1" applyBorder="1" applyAlignment="1">
      <alignment horizontal="right" vertical="center" indent="1"/>
    </xf>
    <xf numFmtId="9" fontId="44" fillId="9" borderId="133" xfId="19" applyFont="1" applyFill="1" applyBorder="1" applyAlignment="1">
      <alignment horizontal="right" vertical="center" indent="1"/>
    </xf>
    <xf numFmtId="0" fontId="51" fillId="10" borderId="0" xfId="0" applyFont="1" applyFill="1" applyBorder="1" applyAlignment="1">
      <alignment horizontal="center"/>
    </xf>
    <xf numFmtId="3" fontId="50" fillId="10" borderId="0" xfId="0" applyNumberFormat="1" applyFont="1" applyFill="1" applyBorder="1" applyAlignment="1">
      <alignment horizontal="center" vertical="center"/>
    </xf>
    <xf numFmtId="3" fontId="50" fillId="10" borderId="0" xfId="0" applyNumberFormat="1" applyFont="1" applyFill="1" applyBorder="1" applyAlignment="1">
      <alignment horizontal="center"/>
    </xf>
    <xf numFmtId="3" fontId="50" fillId="10" borderId="0" xfId="0" applyNumberFormat="1" applyFont="1" applyFill="1" applyBorder="1"/>
    <xf numFmtId="0" fontId="15" fillId="0" borderId="142" xfId="0" applyFont="1" applyFill="1" applyBorder="1"/>
    <xf numFmtId="0" fontId="15" fillId="3" borderId="142" xfId="0" applyFont="1" applyFill="1" applyBorder="1"/>
    <xf numFmtId="0" fontId="15" fillId="0" borderId="143" xfId="0" applyFont="1" applyFill="1" applyBorder="1"/>
    <xf numFmtId="0" fontId="5" fillId="10" borderId="0" xfId="12" applyFont="1" applyFill="1"/>
    <xf numFmtId="0" fontId="5" fillId="9" borderId="4" xfId="12" applyFont="1" applyFill="1" applyBorder="1" applyAlignment="1">
      <alignment horizontal="center"/>
    </xf>
    <xf numFmtId="0" fontId="15" fillId="3" borderId="144" xfId="0" applyFont="1" applyFill="1" applyBorder="1"/>
    <xf numFmtId="0" fontId="5" fillId="0" borderId="78" xfId="12" applyFont="1" applyFill="1" applyBorder="1" applyAlignment="1">
      <alignment horizontal="center"/>
    </xf>
    <xf numFmtId="0" fontId="5" fillId="9" borderId="3" xfId="12" applyFont="1" applyFill="1" applyBorder="1" applyAlignment="1">
      <alignment horizontal="center"/>
    </xf>
    <xf numFmtId="0" fontId="5" fillId="0" borderId="3" xfId="12" applyFont="1" applyFill="1" applyBorder="1" applyAlignment="1">
      <alignment horizontal="center"/>
    </xf>
    <xf numFmtId="0" fontId="5" fillId="0" borderId="6" xfId="12" applyFont="1" applyFill="1" applyBorder="1" applyAlignment="1">
      <alignment horizontal="center"/>
    </xf>
    <xf numFmtId="3" fontId="5" fillId="0" borderId="65" xfId="12" applyNumberFormat="1" applyFont="1" applyFill="1" applyBorder="1" applyAlignment="1">
      <alignment horizontal="center"/>
    </xf>
    <xf numFmtId="3" fontId="5" fillId="0" borderId="145" xfId="12" applyNumberFormat="1" applyFont="1" applyFill="1" applyBorder="1"/>
    <xf numFmtId="3" fontId="5" fillId="0" borderId="66" xfId="12" applyNumberFormat="1" applyFont="1" applyFill="1" applyBorder="1"/>
    <xf numFmtId="3" fontId="5" fillId="9" borderId="49" xfId="12" applyNumberFormat="1" applyFont="1" applyFill="1" applyBorder="1" applyAlignment="1">
      <alignment horizontal="center"/>
    </xf>
    <xf numFmtId="3" fontId="5" fillId="9" borderId="2" xfId="12" applyNumberFormat="1" applyFont="1" applyFill="1" applyBorder="1"/>
    <xf numFmtId="3" fontId="5" fillId="9" borderId="46" xfId="12" applyNumberFormat="1" applyFont="1" applyFill="1" applyBorder="1"/>
    <xf numFmtId="3" fontId="5" fillId="0" borderId="49" xfId="12" applyNumberFormat="1" applyFont="1" applyFill="1" applyBorder="1" applyAlignment="1">
      <alignment horizontal="center"/>
    </xf>
    <xf numFmtId="3" fontId="5" fillId="0" borderId="2" xfId="12" applyNumberFormat="1" applyFont="1" applyFill="1" applyBorder="1"/>
    <xf numFmtId="3" fontId="5" fillId="0" borderId="46" xfId="12" applyNumberFormat="1" applyFont="1" applyFill="1" applyBorder="1"/>
    <xf numFmtId="3" fontId="5" fillId="9" borderId="2" xfId="12" applyNumberFormat="1" applyFont="1" applyFill="1" applyBorder="1" applyAlignment="1">
      <alignment horizontal="right"/>
    </xf>
    <xf numFmtId="4" fontId="5" fillId="0" borderId="66" xfId="12" applyNumberFormat="1" applyFont="1" applyFill="1" applyBorder="1" applyAlignment="1">
      <alignment horizontal="right" vertical="center" indent="1"/>
    </xf>
    <xf numFmtId="4" fontId="5" fillId="9" borderId="46" xfId="12" applyNumberFormat="1" applyFont="1" applyFill="1" applyBorder="1" applyAlignment="1">
      <alignment horizontal="right" vertical="center" indent="1"/>
    </xf>
    <xf numFmtId="4" fontId="5" fillId="0" borderId="46" xfId="12" applyNumberFormat="1" applyFont="1" applyFill="1" applyBorder="1" applyAlignment="1">
      <alignment horizontal="right" vertical="center" indent="1"/>
    </xf>
    <xf numFmtId="4" fontId="5" fillId="0" borderId="53" xfId="12" applyNumberFormat="1" applyFont="1" applyFill="1" applyBorder="1" applyAlignment="1">
      <alignment horizontal="right" vertical="center" indent="1"/>
    </xf>
    <xf numFmtId="0" fontId="4" fillId="10" borderId="6" xfId="12" applyFont="1" applyFill="1" applyBorder="1" applyAlignment="1">
      <alignment horizontal="center"/>
    </xf>
    <xf numFmtId="3" fontId="5" fillId="10" borderId="35" xfId="12" applyNumberFormat="1" applyFont="1" applyFill="1" applyBorder="1" applyAlignment="1">
      <alignment horizontal="center"/>
    </xf>
    <xf numFmtId="3" fontId="5" fillId="10" borderId="36" xfId="12" applyNumberFormat="1" applyFont="1" applyFill="1" applyBorder="1"/>
    <xf numFmtId="3" fontId="5" fillId="10" borderId="53" xfId="12" applyNumberFormat="1" applyFont="1" applyFill="1" applyBorder="1"/>
    <xf numFmtId="0" fontId="3" fillId="14" borderId="45" xfId="12" applyFont="1" applyFill="1" applyBorder="1" applyAlignment="1">
      <alignment horizontal="center" vertical="center"/>
    </xf>
    <xf numFmtId="0" fontId="3" fillId="14" borderId="21" xfId="12" applyFont="1" applyFill="1" applyBorder="1" applyAlignment="1">
      <alignment horizontal="center" vertical="center"/>
    </xf>
    <xf numFmtId="0" fontId="3" fillId="14" borderId="71" xfId="12" applyFont="1" applyFill="1" applyBorder="1" applyAlignment="1">
      <alignment horizontal="center" vertical="center"/>
    </xf>
    <xf numFmtId="0" fontId="5" fillId="0" borderId="0" xfId="11" applyAlignment="1">
      <alignment vertical="center"/>
    </xf>
    <xf numFmtId="0" fontId="53" fillId="10" borderId="0" xfId="11" applyFont="1" applyFill="1" applyBorder="1" applyAlignment="1">
      <alignment vertical="center"/>
    </xf>
    <xf numFmtId="0" fontId="52" fillId="0" borderId="0" xfId="11" applyFont="1" applyBorder="1" applyAlignment="1">
      <alignment vertical="center"/>
    </xf>
    <xf numFmtId="0" fontId="50" fillId="0" borderId="0" xfId="11" applyFont="1" applyBorder="1" applyAlignment="1">
      <alignment vertical="center"/>
    </xf>
    <xf numFmtId="0" fontId="12" fillId="0" borderId="0" xfId="11" applyFont="1"/>
    <xf numFmtId="0" fontId="50" fillId="0" borderId="0" xfId="11" applyFont="1" applyBorder="1" applyAlignment="1">
      <alignment horizontal="center"/>
    </xf>
    <xf numFmtId="169" fontId="50" fillId="0" borderId="0" xfId="11" applyNumberFormat="1" applyFont="1" applyBorder="1"/>
    <xf numFmtId="167" fontId="51" fillId="0" borderId="0" xfId="11" applyNumberFormat="1" applyFont="1" applyBorder="1"/>
    <xf numFmtId="0" fontId="50" fillId="0" borderId="0" xfId="11" applyFont="1" applyBorder="1" applyAlignment="1"/>
    <xf numFmtId="0" fontId="50" fillId="2" borderId="0" xfId="11" applyFont="1" applyFill="1" applyBorder="1"/>
    <xf numFmtId="169" fontId="51" fillId="0" borderId="0" xfId="11" applyNumberFormat="1" applyFont="1" applyBorder="1"/>
    <xf numFmtId="3" fontId="50" fillId="0" borderId="0" xfId="11" applyNumberFormat="1" applyFont="1" applyBorder="1"/>
    <xf numFmtId="0" fontId="50" fillId="0" borderId="0" xfId="11" quotePrefix="1" applyFont="1" applyBorder="1" applyAlignment="1">
      <alignment horizontal="right"/>
    </xf>
    <xf numFmtId="0" fontId="52" fillId="0" borderId="0" xfId="11" applyFont="1" applyAlignment="1">
      <alignment vertical="center"/>
    </xf>
    <xf numFmtId="181" fontId="5" fillId="0" borderId="14" xfId="11" applyNumberFormat="1" applyFont="1" applyFill="1" applyBorder="1"/>
    <xf numFmtId="181" fontId="5" fillId="10" borderId="14" xfId="11" applyNumberFormat="1" applyFont="1" applyFill="1" applyBorder="1"/>
    <xf numFmtId="169" fontId="4" fillId="0" borderId="14" xfId="11" applyNumberFormat="1" applyFont="1" applyFill="1" applyBorder="1" applyAlignment="1">
      <alignment horizontal="right" indent="1"/>
    </xf>
    <xf numFmtId="169" fontId="4" fillId="10" borderId="14" xfId="11" applyNumberFormat="1" applyFont="1" applyFill="1" applyBorder="1" applyAlignment="1">
      <alignment horizontal="right" indent="1"/>
    </xf>
    <xf numFmtId="0" fontId="51" fillId="10" borderId="0" xfId="11" applyFont="1" applyFill="1" applyBorder="1" applyAlignment="1">
      <alignment horizontal="center"/>
    </xf>
    <xf numFmtId="3" fontId="51" fillId="10" borderId="0" xfId="11" applyNumberFormat="1" applyFont="1" applyFill="1" applyBorder="1"/>
    <xf numFmtId="179" fontId="51" fillId="10" borderId="0" xfId="11" applyNumberFormat="1" applyFont="1" applyFill="1" applyBorder="1" applyAlignment="1">
      <alignment horizontal="center"/>
    </xf>
    <xf numFmtId="3" fontId="50" fillId="10" borderId="0" xfId="11" applyNumberFormat="1" applyFont="1" applyFill="1" applyBorder="1"/>
    <xf numFmtId="0" fontId="66" fillId="10" borderId="0" xfId="11" applyFont="1" applyFill="1" applyBorder="1" applyAlignment="1">
      <alignment horizontal="left"/>
    </xf>
    <xf numFmtId="0" fontId="67" fillId="10" borderId="0" xfId="11" applyFont="1" applyFill="1" applyBorder="1" applyAlignment="1">
      <alignment horizontal="left"/>
    </xf>
    <xf numFmtId="3" fontId="67" fillId="10" borderId="0" xfId="11" applyNumberFormat="1" applyFont="1" applyFill="1" applyBorder="1" applyAlignment="1">
      <alignment horizontal="left"/>
    </xf>
    <xf numFmtId="0" fontId="50" fillId="10" borderId="0" xfId="11" applyFont="1" applyFill="1" applyBorder="1"/>
    <xf numFmtId="1" fontId="50" fillId="0" borderId="0" xfId="11" applyNumberFormat="1" applyFont="1" applyBorder="1"/>
    <xf numFmtId="165" fontId="51" fillId="10" borderId="0" xfId="24" applyNumberFormat="1" applyFont="1" applyFill="1" applyBorder="1" applyAlignment="1">
      <alignment horizontal="center"/>
    </xf>
    <xf numFmtId="179" fontId="50" fillId="0" borderId="0" xfId="11" applyNumberFormat="1" applyFont="1" applyBorder="1"/>
    <xf numFmtId="0" fontId="4" fillId="10" borderId="146" xfId="11" applyFont="1" applyFill="1" applyBorder="1" applyAlignment="1">
      <alignment horizontal="center" vertical="center" wrapText="1"/>
    </xf>
    <xf numFmtId="0" fontId="4" fillId="10" borderId="57" xfId="11" applyFont="1" applyFill="1" applyBorder="1" applyAlignment="1">
      <alignment horizontal="center" vertical="center" wrapText="1"/>
    </xf>
    <xf numFmtId="0" fontId="5" fillId="10" borderId="0" xfId="11" applyFont="1" applyFill="1" applyAlignment="1">
      <alignment vertical="center"/>
    </xf>
    <xf numFmtId="0" fontId="5" fillId="10" borderId="0" xfId="11" applyFill="1" applyAlignment="1">
      <alignment vertical="center"/>
    </xf>
    <xf numFmtId="0" fontId="6" fillId="10" borderId="57" xfId="11" applyFont="1" applyFill="1" applyBorder="1" applyAlignment="1">
      <alignment horizontal="center" vertical="center"/>
    </xf>
    <xf numFmtId="0" fontId="6" fillId="10" borderId="15" xfId="11" applyFont="1" applyFill="1" applyBorder="1" applyAlignment="1">
      <alignment horizontal="center" vertical="center"/>
    </xf>
    <xf numFmtId="0" fontId="6" fillId="10" borderId="14" xfId="11" applyFont="1" applyFill="1" applyBorder="1" applyAlignment="1">
      <alignment horizontal="center" vertical="center"/>
    </xf>
    <xf numFmtId="17" fontId="5" fillId="10" borderId="147" xfId="11" applyNumberFormat="1" applyFill="1" applyBorder="1" applyAlignment="1">
      <alignment horizontal="center" vertical="center"/>
    </xf>
    <xf numFmtId="4" fontId="5" fillId="10" borderId="147" xfId="11" applyNumberFormat="1" applyFill="1" applyBorder="1" applyAlignment="1">
      <alignment horizontal="center" vertical="center"/>
    </xf>
    <xf numFmtId="17" fontId="5" fillId="10" borderId="57" xfId="11" applyNumberFormat="1" applyFill="1" applyBorder="1" applyAlignment="1">
      <alignment horizontal="center" vertical="center"/>
    </xf>
    <xf numFmtId="4" fontId="5" fillId="10" borderId="57" xfId="11" applyNumberFormat="1" applyFill="1" applyBorder="1" applyAlignment="1">
      <alignment horizontal="center" vertical="center"/>
    </xf>
    <xf numFmtId="0" fontId="8" fillId="10" borderId="0" xfId="11" applyFont="1" applyFill="1" applyAlignment="1">
      <alignment vertical="center"/>
    </xf>
    <xf numFmtId="17" fontId="5" fillId="10" borderId="21" xfId="11" applyNumberFormat="1" applyFill="1" applyBorder="1" applyAlignment="1">
      <alignment horizontal="center" vertical="center"/>
    </xf>
    <xf numFmtId="4" fontId="5" fillId="10" borderId="21" xfId="11" applyNumberFormat="1" applyFill="1" applyBorder="1" applyAlignment="1">
      <alignment horizontal="center" vertical="center"/>
    </xf>
    <xf numFmtId="17" fontId="5" fillId="10" borderId="148" xfId="11" applyNumberFormat="1" applyFill="1" applyBorder="1" applyAlignment="1">
      <alignment horizontal="center" vertical="center"/>
    </xf>
    <xf numFmtId="4" fontId="5" fillId="10" borderId="148" xfId="11" applyNumberFormat="1" applyFill="1" applyBorder="1" applyAlignment="1">
      <alignment horizontal="center" vertical="center"/>
    </xf>
    <xf numFmtId="0" fontId="5" fillId="10" borderId="149" xfId="11" applyFill="1" applyBorder="1" applyAlignment="1">
      <alignment vertical="center"/>
    </xf>
    <xf numFmtId="0" fontId="5" fillId="10" borderId="150" xfId="11" applyFill="1" applyBorder="1" applyAlignment="1">
      <alignment vertical="center"/>
    </xf>
    <xf numFmtId="0" fontId="5" fillId="10" borderId="1" xfId="11" applyFill="1" applyBorder="1" applyAlignment="1">
      <alignment vertical="center"/>
    </xf>
    <xf numFmtId="0" fontId="5" fillId="10" borderId="0" xfId="11" applyFill="1" applyBorder="1" applyAlignment="1">
      <alignment vertical="center"/>
    </xf>
    <xf numFmtId="0" fontId="51" fillId="10" borderId="0" xfId="11" applyFont="1" applyFill="1" applyBorder="1" applyAlignment="1"/>
    <xf numFmtId="0" fontId="51" fillId="10" borderId="0" xfId="11" applyFont="1" applyFill="1" applyBorder="1" applyAlignment="1">
      <alignment horizontal="left"/>
    </xf>
    <xf numFmtId="172" fontId="68" fillId="10" borderId="0" xfId="11" applyNumberFormat="1" applyFont="1" applyFill="1" applyBorder="1"/>
    <xf numFmtId="180" fontId="50" fillId="10" borderId="0" xfId="11" applyNumberFormat="1" applyFont="1" applyFill="1" applyBorder="1"/>
    <xf numFmtId="172" fontId="68" fillId="10" borderId="0" xfId="11" applyNumberFormat="1" applyFont="1" applyFill="1" applyBorder="1" applyAlignment="1">
      <alignment vertical="center"/>
    </xf>
    <xf numFmtId="180" fontId="50" fillId="10" borderId="0" xfId="11" applyNumberFormat="1" applyFont="1" applyFill="1" applyBorder="1" applyAlignment="1">
      <alignment vertical="center"/>
    </xf>
    <xf numFmtId="180" fontId="68" fillId="10" borderId="0" xfId="11" applyNumberFormat="1" applyFont="1" applyFill="1" applyBorder="1" applyAlignment="1">
      <alignment vertical="center"/>
    </xf>
    <xf numFmtId="171" fontId="68" fillId="10" borderId="0" xfId="11" applyNumberFormat="1" applyFont="1" applyFill="1" applyBorder="1"/>
    <xf numFmtId="0" fontId="69" fillId="10" borderId="0" xfId="11" applyFont="1" applyFill="1" applyBorder="1"/>
    <xf numFmtId="0" fontId="51" fillId="10" borderId="0" xfId="11" applyFont="1" applyFill="1" applyBorder="1"/>
    <xf numFmtId="17" fontId="50" fillId="10" borderId="0" xfId="11" applyNumberFormat="1" applyFont="1" applyFill="1" applyBorder="1" applyAlignment="1">
      <alignment horizontal="left"/>
    </xf>
    <xf numFmtId="171" fontId="50" fillId="10" borderId="0" xfId="11" applyNumberFormat="1" applyFont="1" applyFill="1" applyBorder="1"/>
    <xf numFmtId="170" fontId="50" fillId="10" borderId="0" xfId="11" applyNumberFormat="1" applyFont="1" applyFill="1" applyBorder="1"/>
    <xf numFmtId="172" fontId="50" fillId="10" borderId="0" xfId="11" applyNumberFormat="1" applyFont="1" applyFill="1" applyBorder="1"/>
    <xf numFmtId="9" fontId="50" fillId="10" borderId="0" xfId="22" applyFont="1" applyFill="1" applyBorder="1"/>
    <xf numFmtId="17" fontId="50" fillId="10" borderId="0" xfId="11" applyNumberFormat="1" applyFont="1" applyFill="1" applyBorder="1" applyAlignment="1">
      <alignment horizontal="left" vertical="center"/>
    </xf>
    <xf numFmtId="171" fontId="50" fillId="10" borderId="0" xfId="11" applyNumberFormat="1" applyFont="1" applyFill="1" applyBorder="1" applyAlignment="1">
      <alignment vertical="center"/>
    </xf>
    <xf numFmtId="170" fontId="50" fillId="10" borderId="0" xfId="11" applyNumberFormat="1" applyFont="1" applyFill="1" applyBorder="1" applyAlignment="1">
      <alignment vertical="center"/>
    </xf>
    <xf numFmtId="172" fontId="50" fillId="10" borderId="0" xfId="11" applyNumberFormat="1" applyFont="1" applyFill="1" applyBorder="1" applyAlignment="1">
      <alignment vertical="center"/>
    </xf>
    <xf numFmtId="0" fontId="50" fillId="10" borderId="0" xfId="11" applyFont="1" applyFill="1" applyBorder="1" applyAlignment="1">
      <alignment vertical="center"/>
    </xf>
    <xf numFmtId="9" fontId="50" fillId="10" borderId="0" xfId="22" applyFont="1" applyFill="1" applyBorder="1" applyAlignment="1">
      <alignment vertical="center"/>
    </xf>
    <xf numFmtId="170" fontId="68" fillId="10" borderId="0" xfId="11" applyNumberFormat="1" applyFont="1" applyFill="1" applyBorder="1" applyAlignment="1">
      <alignment vertical="center"/>
    </xf>
    <xf numFmtId="0" fontId="68" fillId="10" borderId="0" xfId="11" applyFont="1" applyFill="1" applyBorder="1" applyAlignment="1">
      <alignment vertical="center"/>
    </xf>
    <xf numFmtId="180" fontId="68" fillId="10" borderId="0" xfId="11" applyNumberFormat="1" applyFont="1" applyFill="1" applyBorder="1"/>
    <xf numFmtId="0" fontId="68" fillId="10" borderId="0" xfId="11" applyFont="1" applyFill="1" applyBorder="1"/>
    <xf numFmtId="180" fontId="70" fillId="10" borderId="0" xfId="11" applyNumberFormat="1" applyFont="1" applyFill="1" applyBorder="1"/>
    <xf numFmtId="171" fontId="50" fillId="0" borderId="0" xfId="11" applyNumberFormat="1" applyFont="1" applyFill="1" applyBorder="1"/>
    <xf numFmtId="180" fontId="50" fillId="10" borderId="0" xfId="22" applyNumberFormat="1" applyFont="1" applyFill="1" applyBorder="1"/>
    <xf numFmtId="0" fontId="50" fillId="0" borderId="0" xfId="12" applyFont="1" applyFill="1" applyBorder="1"/>
    <xf numFmtId="0" fontId="50" fillId="0" borderId="0" xfId="12" applyFont="1" applyFill="1" applyBorder="1" applyAlignment="1">
      <alignment horizontal="center"/>
    </xf>
    <xf numFmtId="169" fontId="50" fillId="0" borderId="0" xfId="12" applyNumberFormat="1" applyFont="1" applyFill="1" applyBorder="1" applyAlignment="1">
      <alignment horizontal="center"/>
    </xf>
    <xf numFmtId="0" fontId="50" fillId="10" borderId="0" xfId="12" applyFont="1" applyFill="1" applyBorder="1" applyAlignment="1">
      <alignment horizontal="center"/>
    </xf>
    <xf numFmtId="169" fontId="50" fillId="10" borderId="0" xfId="12" applyNumberFormat="1" applyFont="1" applyFill="1" applyBorder="1" applyAlignment="1">
      <alignment horizontal="center"/>
    </xf>
    <xf numFmtId="0" fontId="50" fillId="10" borderId="0" xfId="12" applyFont="1" applyFill="1" applyBorder="1"/>
    <xf numFmtId="0" fontId="70" fillId="0" borderId="0" xfId="12" applyFont="1" applyFill="1" applyBorder="1"/>
    <xf numFmtId="3" fontId="70" fillId="0" borderId="0" xfId="12" applyNumberFormat="1" applyFont="1" applyFill="1" applyBorder="1" applyAlignment="1">
      <alignment horizontal="right"/>
    </xf>
    <xf numFmtId="169" fontId="70" fillId="0" borderId="0" xfId="12" applyNumberFormat="1" applyFont="1" applyFill="1" applyBorder="1" applyAlignment="1">
      <alignment horizontal="center"/>
    </xf>
    <xf numFmtId="169" fontId="70" fillId="10" borderId="0" xfId="12" applyNumberFormat="1" applyFont="1" applyFill="1" applyBorder="1" applyAlignment="1">
      <alignment horizontal="center"/>
    </xf>
    <xf numFmtId="0" fontId="15" fillId="3" borderId="107" xfId="0" applyFont="1" applyFill="1" applyBorder="1" applyAlignment="1">
      <alignment vertical="center"/>
    </xf>
    <xf numFmtId="0" fontId="15" fillId="0" borderId="151" xfId="0" applyFont="1" applyFill="1" applyBorder="1" applyAlignment="1">
      <alignment vertical="center"/>
    </xf>
    <xf numFmtId="0" fontId="15" fillId="3" borderId="151" xfId="0" applyFont="1" applyFill="1" applyBorder="1" applyAlignment="1">
      <alignment vertical="center"/>
    </xf>
    <xf numFmtId="0" fontId="15" fillId="0" borderId="70" xfId="0" applyFont="1" applyFill="1" applyBorder="1" applyAlignment="1">
      <alignment vertical="center"/>
    </xf>
    <xf numFmtId="9" fontId="6" fillId="3" borderId="152" xfId="22" applyNumberFormat="1" applyFont="1" applyFill="1" applyBorder="1" applyAlignment="1">
      <alignment horizontal="center" vertical="center"/>
    </xf>
    <xf numFmtId="9" fontId="6" fillId="2" borderId="153" xfId="22" applyNumberFormat="1" applyFont="1" applyFill="1" applyBorder="1" applyAlignment="1">
      <alignment horizontal="center" vertical="center"/>
    </xf>
    <xf numFmtId="9" fontId="6" fillId="3" borderId="153" xfId="22" applyFont="1" applyFill="1" applyBorder="1" applyAlignment="1">
      <alignment horizontal="center" vertical="center"/>
    </xf>
    <xf numFmtId="9" fontId="6" fillId="2" borderId="154" xfId="22" applyFont="1" applyFill="1" applyBorder="1" applyAlignment="1">
      <alignment horizontal="center" vertical="center"/>
    </xf>
    <xf numFmtId="169" fontId="5" fillId="6" borderId="71" xfId="11" applyNumberFormat="1" applyFill="1" applyBorder="1"/>
    <xf numFmtId="169" fontId="5" fillId="7" borderId="46" xfId="11" applyNumberFormat="1" applyFill="1" applyBorder="1"/>
    <xf numFmtId="169" fontId="5" fillId="6" borderId="46" xfId="11" applyNumberFormat="1" applyFill="1" applyBorder="1"/>
    <xf numFmtId="169" fontId="5" fillId="9" borderId="46" xfId="11" applyNumberFormat="1" applyFill="1" applyBorder="1"/>
    <xf numFmtId="169" fontId="5" fillId="6" borderId="53" xfId="11" applyNumberFormat="1" applyFill="1" applyBorder="1"/>
    <xf numFmtId="9" fontId="6" fillId="3" borderId="155" xfId="22" applyNumberFormat="1" applyFont="1" applyFill="1" applyBorder="1" applyAlignment="1">
      <alignment horizontal="center" vertical="center"/>
    </xf>
    <xf numFmtId="9" fontId="6" fillId="3" borderId="97" xfId="22" applyNumberFormat="1" applyFont="1" applyFill="1" applyBorder="1" applyAlignment="1">
      <alignment horizontal="center" vertical="center"/>
    </xf>
    <xf numFmtId="9" fontId="6" fillId="3" borderId="134" xfId="22" applyNumberFormat="1" applyFont="1" applyFill="1" applyBorder="1" applyAlignment="1">
      <alignment horizontal="center" vertical="center"/>
    </xf>
    <xf numFmtId="9" fontId="6" fillId="2" borderId="156" xfId="22" applyNumberFormat="1" applyFont="1" applyFill="1" applyBorder="1" applyAlignment="1">
      <alignment horizontal="center" vertical="center"/>
    </xf>
    <xf numFmtId="9" fontId="6" fillId="2" borderId="98" xfId="22" applyNumberFormat="1" applyFont="1" applyFill="1" applyBorder="1" applyAlignment="1">
      <alignment horizontal="center" vertical="center"/>
    </xf>
    <xf numFmtId="9" fontId="6" fillId="2" borderId="135" xfId="22" applyNumberFormat="1" applyFont="1" applyFill="1" applyBorder="1" applyAlignment="1">
      <alignment horizontal="center" vertical="center"/>
    </xf>
    <xf numFmtId="9" fontId="6" fillId="3" borderId="156" xfId="22" applyFont="1" applyFill="1" applyBorder="1" applyAlignment="1">
      <alignment horizontal="center" vertical="center"/>
    </xf>
    <xf numFmtId="9" fontId="6" fillId="3" borderId="98" xfId="22" applyFont="1" applyFill="1" applyBorder="1" applyAlignment="1">
      <alignment horizontal="center" vertical="center"/>
    </xf>
    <xf numFmtId="9" fontId="6" fillId="3" borderId="135" xfId="22" applyFont="1" applyFill="1" applyBorder="1" applyAlignment="1">
      <alignment horizontal="center" vertical="center"/>
    </xf>
    <xf numFmtId="9" fontId="6" fillId="2" borderId="157" xfId="22" applyFont="1" applyFill="1" applyBorder="1" applyAlignment="1">
      <alignment horizontal="center" vertical="center"/>
    </xf>
    <xf numFmtId="9" fontId="6" fillId="2" borderId="99" xfId="22" applyFont="1" applyFill="1" applyBorder="1" applyAlignment="1">
      <alignment horizontal="center" vertical="center"/>
    </xf>
    <xf numFmtId="9" fontId="6" fillId="2" borderId="136" xfId="22" applyFont="1" applyFill="1" applyBorder="1" applyAlignment="1">
      <alignment horizontal="center" vertical="center"/>
    </xf>
    <xf numFmtId="169" fontId="5" fillId="2" borderId="53" xfId="11" applyNumberFormat="1" applyFill="1" applyBorder="1"/>
    <xf numFmtId="0" fontId="12" fillId="10" borderId="0" xfId="0" applyFont="1" applyFill="1"/>
    <xf numFmtId="0" fontId="0" fillId="10" borderId="0" xfId="0" applyFill="1" applyAlignment="1">
      <alignment vertical="center"/>
    </xf>
    <xf numFmtId="0" fontId="7" fillId="10" borderId="0" xfId="0" applyFont="1" applyFill="1"/>
    <xf numFmtId="0" fontId="49" fillId="10" borderId="0" xfId="0" applyFont="1" applyFill="1" applyBorder="1"/>
    <xf numFmtId="0" fontId="11" fillId="10" borderId="0" xfId="0" applyFont="1" applyFill="1"/>
    <xf numFmtId="0" fontId="11" fillId="10" borderId="0" xfId="0" applyFont="1" applyFill="1" applyAlignment="1">
      <alignment wrapText="1"/>
    </xf>
    <xf numFmtId="3" fontId="0" fillId="10" borderId="0" xfId="0" applyNumberFormat="1" applyFill="1" applyBorder="1"/>
    <xf numFmtId="165" fontId="0" fillId="10" borderId="0" xfId="0" applyNumberFormat="1" applyFill="1" applyAlignment="1">
      <alignment horizontal="center" vertical="center"/>
    </xf>
    <xf numFmtId="165" fontId="6" fillId="10" borderId="0" xfId="19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9" fontId="6" fillId="10" borderId="0" xfId="19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right" indent="1"/>
    </xf>
    <xf numFmtId="0" fontId="3" fillId="10" borderId="2" xfId="0" applyFont="1" applyFill="1" applyBorder="1" applyAlignment="1">
      <alignment horizontal="right" indent="1"/>
    </xf>
    <xf numFmtId="0" fontId="3" fillId="10" borderId="46" xfId="0" applyFont="1" applyFill="1" applyBorder="1" applyAlignment="1">
      <alignment horizontal="right" indent="1"/>
    </xf>
    <xf numFmtId="4" fontId="4" fillId="9" borderId="49" xfId="0" applyNumberFormat="1" applyFont="1" applyFill="1" applyBorder="1" applyAlignment="1">
      <alignment horizontal="right" indent="1"/>
    </xf>
    <xf numFmtId="4" fontId="4" fillId="9" borderId="2" xfId="0" applyNumberFormat="1" applyFont="1" applyFill="1" applyBorder="1" applyAlignment="1">
      <alignment horizontal="right" indent="1"/>
    </xf>
    <xf numFmtId="4" fontId="7" fillId="9" borderId="2" xfId="0" applyNumberFormat="1" applyFont="1" applyFill="1" applyBorder="1" applyAlignment="1">
      <alignment horizontal="right" indent="1"/>
    </xf>
    <xf numFmtId="4" fontId="7" fillId="9" borderId="46" xfId="0" applyNumberFormat="1" applyFont="1" applyFill="1" applyBorder="1" applyAlignment="1">
      <alignment horizontal="right" indent="1"/>
    </xf>
    <xf numFmtId="4" fontId="4" fillId="10" borderId="49" xfId="0" applyNumberFormat="1" applyFont="1" applyFill="1" applyBorder="1" applyAlignment="1">
      <alignment horizontal="right" indent="1"/>
    </xf>
    <xf numFmtId="4" fontId="4" fillId="10" borderId="2" xfId="0" applyNumberFormat="1" applyFont="1" applyFill="1" applyBorder="1" applyAlignment="1">
      <alignment horizontal="right" indent="1"/>
    </xf>
    <xf numFmtId="4" fontId="7" fillId="10" borderId="2" xfId="0" applyNumberFormat="1" applyFont="1" applyFill="1" applyBorder="1" applyAlignment="1">
      <alignment horizontal="right" indent="1"/>
    </xf>
    <xf numFmtId="4" fontId="7" fillId="10" borderId="46" xfId="0" applyNumberFormat="1" applyFont="1" applyFill="1" applyBorder="1" applyAlignment="1">
      <alignment horizontal="right" indent="1"/>
    </xf>
    <xf numFmtId="169" fontId="4" fillId="10" borderId="49" xfId="0" applyNumberFormat="1" applyFont="1" applyFill="1" applyBorder="1" applyAlignment="1">
      <alignment horizontal="right" indent="1"/>
    </xf>
    <xf numFmtId="169" fontId="4" fillId="10" borderId="2" xfId="0" applyNumberFormat="1" applyFont="1" applyFill="1" applyBorder="1" applyAlignment="1">
      <alignment horizontal="right" indent="1"/>
    </xf>
    <xf numFmtId="169" fontId="7" fillId="10" borderId="2" xfId="0" applyNumberFormat="1" applyFont="1" applyFill="1" applyBorder="1" applyAlignment="1">
      <alignment horizontal="right" indent="1"/>
    </xf>
    <xf numFmtId="169" fontId="7" fillId="10" borderId="46" xfId="0" applyNumberFormat="1" applyFont="1" applyFill="1" applyBorder="1" applyAlignment="1">
      <alignment horizontal="right" indent="1"/>
    </xf>
    <xf numFmtId="9" fontId="6" fillId="3" borderId="68" xfId="22" applyNumberFormat="1" applyFont="1" applyFill="1" applyBorder="1" applyAlignment="1">
      <alignment horizontal="right" indent="2"/>
    </xf>
    <xf numFmtId="9" fontId="6" fillId="3" borderId="97" xfId="22" applyNumberFormat="1" applyFont="1" applyFill="1" applyBorder="1" applyAlignment="1">
      <alignment horizontal="right" indent="2"/>
    </xf>
    <xf numFmtId="9" fontId="6" fillId="3" borderId="134" xfId="22" applyNumberFormat="1" applyFont="1" applyFill="1" applyBorder="1" applyAlignment="1">
      <alignment horizontal="right" indent="2"/>
    </xf>
    <xf numFmtId="9" fontId="6" fillId="2" borderId="90" xfId="22" applyNumberFormat="1" applyFont="1" applyFill="1" applyBorder="1" applyAlignment="1">
      <alignment horizontal="right" indent="2"/>
    </xf>
    <xf numFmtId="9" fontId="6" fillId="2" borderId="98" xfId="22" applyNumberFormat="1" applyFont="1" applyFill="1" applyBorder="1" applyAlignment="1">
      <alignment horizontal="right" indent="2"/>
    </xf>
    <xf numFmtId="9" fontId="6" fillId="2" borderId="135" xfId="22" applyNumberFormat="1" applyFont="1" applyFill="1" applyBorder="1" applyAlignment="1">
      <alignment horizontal="right" indent="2"/>
    </xf>
    <xf numFmtId="9" fontId="6" fillId="3" borderId="90" xfId="22" applyFont="1" applyFill="1" applyBorder="1" applyAlignment="1">
      <alignment horizontal="right" indent="2"/>
    </xf>
    <xf numFmtId="9" fontId="6" fillId="3" borderId="98" xfId="22" applyFont="1" applyFill="1" applyBorder="1" applyAlignment="1">
      <alignment horizontal="right" indent="2"/>
    </xf>
    <xf numFmtId="9" fontId="6" fillId="3" borderId="135" xfId="22" applyFont="1" applyFill="1" applyBorder="1" applyAlignment="1">
      <alignment horizontal="right" indent="2"/>
    </xf>
    <xf numFmtId="9" fontId="6" fillId="2" borderId="91" xfId="22" applyFont="1" applyFill="1" applyBorder="1" applyAlignment="1">
      <alignment horizontal="right" indent="2"/>
    </xf>
    <xf numFmtId="9" fontId="6" fillId="2" borderId="99" xfId="22" applyFont="1" applyFill="1" applyBorder="1" applyAlignment="1">
      <alignment horizontal="right" indent="2"/>
    </xf>
    <xf numFmtId="9" fontId="6" fillId="2" borderId="136" xfId="22" applyFont="1" applyFill="1" applyBorder="1" applyAlignment="1">
      <alignment horizontal="right" indent="2"/>
    </xf>
    <xf numFmtId="169" fontId="4" fillId="3" borderId="4" xfId="12" applyNumberFormat="1" applyFont="1" applyFill="1" applyBorder="1" applyAlignment="1">
      <alignment horizontal="right" indent="1"/>
    </xf>
    <xf numFmtId="169" fontId="5" fillId="3" borderId="102" xfId="12" applyNumberFormat="1" applyFont="1" applyFill="1" applyBorder="1" applyAlignment="1">
      <alignment horizontal="right" indent="1"/>
    </xf>
    <xf numFmtId="169" fontId="5" fillId="3" borderId="103" xfId="12" applyNumberFormat="1" applyFont="1" applyFill="1" applyBorder="1" applyAlignment="1">
      <alignment horizontal="right" indent="1"/>
    </xf>
    <xf numFmtId="169" fontId="5" fillId="3" borderId="4" xfId="12" applyNumberFormat="1" applyFont="1" applyFill="1" applyBorder="1" applyAlignment="1">
      <alignment horizontal="right" indent="1"/>
    </xf>
    <xf numFmtId="169" fontId="5" fillId="3" borderId="110" xfId="12" applyNumberFormat="1" applyFont="1" applyFill="1" applyBorder="1" applyAlignment="1">
      <alignment horizontal="right" indent="1"/>
    </xf>
    <xf numFmtId="169" fontId="5" fillId="3" borderId="1" xfId="12" applyNumberFormat="1" applyFont="1" applyFill="1" applyBorder="1" applyAlignment="1">
      <alignment horizontal="right" indent="1"/>
    </xf>
    <xf numFmtId="169" fontId="4" fillId="0" borderId="4" xfId="0" applyNumberFormat="1" applyFont="1" applyFill="1" applyBorder="1" applyAlignment="1">
      <alignment horizontal="right" indent="1"/>
    </xf>
    <xf numFmtId="169" fontId="0" fillId="0" borderId="102" xfId="0" applyNumberFormat="1" applyFill="1" applyBorder="1" applyAlignment="1">
      <alignment horizontal="right" indent="1"/>
    </xf>
    <xf numFmtId="169" fontId="0" fillId="0" borderId="103" xfId="0" applyNumberFormat="1" applyFill="1" applyBorder="1" applyAlignment="1">
      <alignment horizontal="right" indent="1"/>
    </xf>
    <xf numFmtId="169" fontId="0" fillId="0" borderId="4" xfId="0" applyNumberFormat="1" applyFill="1" applyBorder="1" applyAlignment="1">
      <alignment horizontal="right" indent="1"/>
    </xf>
    <xf numFmtId="169" fontId="0" fillId="0" borderId="110" xfId="0" applyNumberFormat="1" applyFill="1" applyBorder="1" applyAlignment="1">
      <alignment horizontal="right" indent="1"/>
    </xf>
    <xf numFmtId="169" fontId="0" fillId="0" borderId="1" xfId="0" applyNumberFormat="1" applyFill="1" applyBorder="1" applyAlignment="1">
      <alignment horizontal="right" indent="1"/>
    </xf>
    <xf numFmtId="168" fontId="0" fillId="0" borderId="102" xfId="0" applyNumberFormat="1" applyFill="1" applyBorder="1" applyAlignment="1">
      <alignment horizontal="right" indent="1"/>
    </xf>
    <xf numFmtId="169" fontId="0" fillId="0" borderId="2" xfId="0" applyNumberFormat="1" applyFill="1" applyBorder="1" applyAlignment="1">
      <alignment horizontal="right" indent="1"/>
    </xf>
    <xf numFmtId="169" fontId="4" fillId="0" borderId="0" xfId="0" applyNumberFormat="1" applyFont="1" applyFill="1" applyBorder="1" applyAlignment="1">
      <alignment horizontal="right" indent="1"/>
    </xf>
    <xf numFmtId="169" fontId="0" fillId="10" borderId="102" xfId="0" applyNumberFormat="1" applyFill="1" applyBorder="1" applyAlignment="1">
      <alignment horizontal="right" indent="1"/>
    </xf>
    <xf numFmtId="169" fontId="0" fillId="10" borderId="110" xfId="0" applyNumberFormat="1" applyFill="1" applyBorder="1" applyAlignment="1">
      <alignment horizontal="right" indent="1"/>
    </xf>
    <xf numFmtId="169" fontId="0" fillId="10" borderId="103" xfId="0" applyNumberFormat="1" applyFill="1" applyBorder="1" applyAlignment="1">
      <alignment horizontal="right" indent="1"/>
    </xf>
    <xf numFmtId="169" fontId="4" fillId="0" borderId="5" xfId="0" applyNumberFormat="1" applyFont="1" applyFill="1" applyBorder="1" applyAlignment="1">
      <alignment horizontal="right" indent="1"/>
    </xf>
    <xf numFmtId="169" fontId="0" fillId="0" borderId="116" xfId="0" applyNumberFormat="1" applyFill="1" applyBorder="1" applyAlignment="1">
      <alignment horizontal="right" indent="1"/>
    </xf>
    <xf numFmtId="169" fontId="0" fillId="0" borderId="117" xfId="0" applyNumberFormat="1" applyFill="1" applyBorder="1" applyAlignment="1">
      <alignment horizontal="right" indent="1"/>
    </xf>
    <xf numFmtId="169" fontId="0" fillId="0" borderId="5" xfId="0" applyNumberFormat="1" applyFill="1" applyBorder="1" applyAlignment="1">
      <alignment horizontal="right" indent="1"/>
    </xf>
    <xf numFmtId="169" fontId="0" fillId="0" borderId="119" xfId="0" applyNumberFormat="1" applyFill="1" applyBorder="1" applyAlignment="1">
      <alignment horizontal="right" indent="1"/>
    </xf>
    <xf numFmtId="169" fontId="0" fillId="0" borderId="37" xfId="0" applyNumberFormat="1" applyFill="1" applyBorder="1" applyAlignment="1">
      <alignment horizontal="right" indent="1"/>
    </xf>
    <xf numFmtId="168" fontId="0" fillId="0" borderId="116" xfId="0" applyNumberFormat="1" applyFill="1" applyBorder="1" applyAlignment="1">
      <alignment horizontal="right" indent="1"/>
    </xf>
    <xf numFmtId="9" fontId="6" fillId="3" borderId="104" xfId="22" applyNumberFormat="1" applyFont="1" applyFill="1" applyBorder="1" applyAlignment="1">
      <alignment horizontal="right" vertical="center" indent="2"/>
    </xf>
    <xf numFmtId="9" fontId="6" fillId="3" borderId="107" xfId="22" applyNumberFormat="1" applyFont="1" applyFill="1" applyBorder="1" applyAlignment="1">
      <alignment horizontal="right" vertical="center" indent="2"/>
    </xf>
    <xf numFmtId="9" fontId="6" fillId="3" borderId="111" xfId="22" applyNumberFormat="1" applyFont="1" applyFill="1" applyBorder="1" applyAlignment="1">
      <alignment horizontal="right" vertical="center" indent="2"/>
    </xf>
    <xf numFmtId="9" fontId="6" fillId="3" borderId="104" xfId="22" applyNumberFormat="1" applyFont="1" applyFill="1" applyBorder="1" applyAlignment="1">
      <alignment horizontal="right" indent="1"/>
    </xf>
    <xf numFmtId="9" fontId="6" fillId="3" borderId="92" xfId="22" applyNumberFormat="1" applyFont="1" applyFill="1" applyBorder="1" applyAlignment="1">
      <alignment horizontal="right" indent="1"/>
    </xf>
    <xf numFmtId="9" fontId="6" fillId="2" borderId="105" xfId="22" applyNumberFormat="1" applyFont="1" applyFill="1" applyBorder="1" applyAlignment="1">
      <alignment horizontal="right" vertical="center" indent="2"/>
    </xf>
    <xf numFmtId="9" fontId="6" fillId="2" borderId="108" xfId="22" applyNumberFormat="1" applyFont="1" applyFill="1" applyBorder="1" applyAlignment="1">
      <alignment horizontal="right" vertical="center" indent="2"/>
    </xf>
    <xf numFmtId="9" fontId="6" fillId="2" borderId="112" xfId="22" applyNumberFormat="1" applyFont="1" applyFill="1" applyBorder="1" applyAlignment="1">
      <alignment horizontal="right" vertical="center" indent="2"/>
    </xf>
    <xf numFmtId="9" fontId="6" fillId="2" borderId="105" xfId="22" applyNumberFormat="1" applyFont="1" applyFill="1" applyBorder="1" applyAlignment="1">
      <alignment horizontal="right" indent="1"/>
    </xf>
    <xf numFmtId="9" fontId="6" fillId="2" borderId="93" xfId="22" applyNumberFormat="1" applyFont="1" applyFill="1" applyBorder="1" applyAlignment="1">
      <alignment horizontal="right" indent="1"/>
    </xf>
    <xf numFmtId="9" fontId="6" fillId="3" borderId="105" xfId="22" applyFont="1" applyFill="1" applyBorder="1" applyAlignment="1">
      <alignment horizontal="right" vertical="center" indent="2"/>
    </xf>
    <xf numFmtId="9" fontId="6" fillId="3" borderId="108" xfId="22" applyFont="1" applyFill="1" applyBorder="1" applyAlignment="1">
      <alignment horizontal="right" vertical="center" indent="2"/>
    </xf>
    <xf numFmtId="9" fontId="6" fillId="3" borderId="112" xfId="22" applyFont="1" applyFill="1" applyBorder="1" applyAlignment="1">
      <alignment horizontal="right" vertical="center" indent="2"/>
    </xf>
    <xf numFmtId="9" fontId="6" fillId="3" borderId="98" xfId="22" applyNumberFormat="1" applyFont="1" applyFill="1" applyBorder="1" applyAlignment="1">
      <alignment horizontal="right" indent="1"/>
    </xf>
    <xf numFmtId="9" fontId="6" fillId="3" borderId="105" xfId="22" applyNumberFormat="1" applyFont="1" applyFill="1" applyBorder="1" applyAlignment="1">
      <alignment horizontal="right" indent="1"/>
    </xf>
    <xf numFmtId="9" fontId="6" fillId="3" borderId="93" xfId="22" applyNumberFormat="1" applyFont="1" applyFill="1" applyBorder="1" applyAlignment="1">
      <alignment horizontal="right" indent="1"/>
    </xf>
    <xf numFmtId="9" fontId="6" fillId="2" borderId="106" xfId="22" applyFont="1" applyFill="1" applyBorder="1" applyAlignment="1">
      <alignment horizontal="right" vertical="center" indent="2"/>
    </xf>
    <xf numFmtId="9" fontId="6" fillId="2" borderId="70" xfId="22" applyFont="1" applyFill="1" applyBorder="1" applyAlignment="1">
      <alignment horizontal="right" vertical="center" indent="2"/>
    </xf>
    <xf numFmtId="9" fontId="6" fillId="2" borderId="113" xfId="22" applyFont="1" applyFill="1" applyBorder="1" applyAlignment="1">
      <alignment horizontal="right" vertical="center" indent="2"/>
    </xf>
    <xf numFmtId="9" fontId="6" fillId="2" borderId="99" xfId="22" applyNumberFormat="1" applyFont="1" applyFill="1" applyBorder="1" applyAlignment="1">
      <alignment horizontal="right" indent="1"/>
    </xf>
    <xf numFmtId="9" fontId="6" fillId="2" borderId="106" xfId="22" applyNumberFormat="1" applyFont="1" applyFill="1" applyBorder="1" applyAlignment="1">
      <alignment horizontal="right" indent="1"/>
    </xf>
    <xf numFmtId="9" fontId="6" fillId="2" borderId="94" xfId="22" applyNumberFormat="1" applyFont="1" applyFill="1" applyBorder="1" applyAlignment="1">
      <alignment horizontal="right" indent="1"/>
    </xf>
    <xf numFmtId="169" fontId="5" fillId="3" borderId="0" xfId="12" applyNumberFormat="1" applyFont="1" applyFill="1" applyBorder="1" applyAlignment="1">
      <alignment horizontal="right" indent="1"/>
    </xf>
    <xf numFmtId="169" fontId="4" fillId="2" borderId="4" xfId="12" applyNumberFormat="1" applyFont="1" applyFill="1" applyBorder="1" applyAlignment="1">
      <alignment horizontal="right" indent="1"/>
    </xf>
    <xf numFmtId="169" fontId="5" fillId="2" borderId="102" xfId="12" applyNumberFormat="1" applyFont="1" applyFill="1" applyBorder="1" applyAlignment="1">
      <alignment horizontal="right" indent="1"/>
    </xf>
    <xf numFmtId="169" fontId="5" fillId="2" borderId="103" xfId="12" applyNumberFormat="1" applyFont="1" applyFill="1" applyBorder="1" applyAlignment="1">
      <alignment horizontal="right" indent="1"/>
    </xf>
    <xf numFmtId="169" fontId="5" fillId="2" borderId="4" xfId="12" applyNumberFormat="1" applyFont="1" applyFill="1" applyBorder="1" applyAlignment="1">
      <alignment horizontal="right" indent="1"/>
    </xf>
    <xf numFmtId="169" fontId="5" fillId="2" borderId="110" xfId="12" applyNumberFormat="1" applyFont="1" applyFill="1" applyBorder="1" applyAlignment="1">
      <alignment horizontal="right" indent="1"/>
    </xf>
    <xf numFmtId="169" fontId="5" fillId="2" borderId="0" xfId="12" applyNumberFormat="1" applyFont="1" applyFill="1" applyBorder="1" applyAlignment="1">
      <alignment horizontal="right" indent="1"/>
    </xf>
    <xf numFmtId="168" fontId="5" fillId="2" borderId="102" xfId="12" applyNumberFormat="1" applyFont="1" applyFill="1" applyBorder="1" applyAlignment="1">
      <alignment horizontal="right" indent="1"/>
    </xf>
    <xf numFmtId="168" fontId="5" fillId="3" borderId="102" xfId="12" applyNumberFormat="1" applyFont="1" applyFill="1" applyBorder="1" applyAlignment="1">
      <alignment horizontal="right" indent="1"/>
    </xf>
    <xf numFmtId="169" fontId="4" fillId="10" borderId="4" xfId="12" applyNumberFormat="1" applyFont="1" applyFill="1" applyBorder="1" applyAlignment="1">
      <alignment horizontal="right" indent="1"/>
    </xf>
    <xf numFmtId="169" fontId="5" fillId="10" borderId="102" xfId="12" applyNumberFormat="1" applyFont="1" applyFill="1" applyBorder="1" applyAlignment="1">
      <alignment horizontal="right" indent="1"/>
    </xf>
    <xf numFmtId="169" fontId="5" fillId="10" borderId="103" xfId="12" applyNumberFormat="1" applyFont="1" applyFill="1" applyBorder="1" applyAlignment="1">
      <alignment horizontal="right" indent="1"/>
    </xf>
    <xf numFmtId="169" fontId="5" fillId="10" borderId="0" xfId="12" applyNumberFormat="1" applyFont="1" applyFill="1" applyBorder="1" applyAlignment="1">
      <alignment horizontal="right" indent="1"/>
    </xf>
    <xf numFmtId="169" fontId="5" fillId="10" borderId="110" xfId="12" applyNumberFormat="1" applyFont="1" applyFill="1" applyBorder="1" applyAlignment="1">
      <alignment horizontal="right" indent="1"/>
    </xf>
    <xf numFmtId="168" fontId="5" fillId="10" borderId="102" xfId="12" applyNumberFormat="1" applyFont="1" applyFill="1" applyBorder="1" applyAlignment="1">
      <alignment horizontal="right" indent="1"/>
    </xf>
    <xf numFmtId="169" fontId="4" fillId="9" borderId="4" xfId="12" applyNumberFormat="1" applyFont="1" applyFill="1" applyBorder="1" applyAlignment="1">
      <alignment horizontal="right" indent="1"/>
    </xf>
    <xf numFmtId="169" fontId="5" fillId="9" borderId="102" xfId="12" applyNumberFormat="1" applyFont="1" applyFill="1" applyBorder="1" applyAlignment="1">
      <alignment horizontal="right" indent="1"/>
    </xf>
    <xf numFmtId="169" fontId="5" fillId="9" borderId="103" xfId="12" applyNumberFormat="1" applyFont="1" applyFill="1" applyBorder="1" applyAlignment="1">
      <alignment horizontal="right" indent="1"/>
    </xf>
    <xf numFmtId="169" fontId="5" fillId="9" borderId="0" xfId="12" applyNumberFormat="1" applyFont="1" applyFill="1" applyBorder="1" applyAlignment="1">
      <alignment horizontal="right" indent="1"/>
    </xf>
    <xf numFmtId="169" fontId="5" fillId="9" borderId="110" xfId="12" applyNumberFormat="1" applyFont="1" applyFill="1" applyBorder="1" applyAlignment="1">
      <alignment horizontal="right" indent="1"/>
    </xf>
    <xf numFmtId="168" fontId="5" fillId="9" borderId="102" xfId="12" applyNumberFormat="1" applyFont="1" applyFill="1" applyBorder="1" applyAlignment="1">
      <alignment horizontal="right" indent="1"/>
    </xf>
    <xf numFmtId="168" fontId="5" fillId="2" borderId="116" xfId="12" applyNumberFormat="1" applyFont="1" applyFill="1" applyBorder="1" applyAlignment="1">
      <alignment horizontal="right" indent="1"/>
    </xf>
    <xf numFmtId="9" fontId="6" fillId="3" borderId="97" xfId="25" applyNumberFormat="1" applyFont="1" applyFill="1" applyBorder="1" applyAlignment="1">
      <alignment horizontal="right"/>
    </xf>
    <xf numFmtId="9" fontId="6" fillId="3" borderId="134" xfId="25" applyNumberFormat="1" applyFont="1" applyFill="1" applyBorder="1" applyAlignment="1">
      <alignment horizontal="right"/>
    </xf>
    <xf numFmtId="9" fontId="6" fillId="0" borderId="98" xfId="25" applyNumberFormat="1" applyFont="1" applyFill="1" applyBorder="1" applyAlignment="1">
      <alignment horizontal="right"/>
    </xf>
    <xf numFmtId="9" fontId="6" fillId="0" borderId="135" xfId="25" applyNumberFormat="1" applyFont="1" applyFill="1" applyBorder="1" applyAlignment="1">
      <alignment horizontal="right"/>
    </xf>
    <xf numFmtId="9" fontId="6" fillId="3" borderId="98" xfId="25" applyNumberFormat="1" applyFont="1" applyFill="1" applyBorder="1" applyAlignment="1">
      <alignment horizontal="right"/>
    </xf>
    <xf numFmtId="9" fontId="6" fillId="3" borderId="135" xfId="25" applyNumberFormat="1" applyFont="1" applyFill="1" applyBorder="1" applyAlignment="1">
      <alignment horizontal="right"/>
    </xf>
    <xf numFmtId="9" fontId="6" fillId="0" borderId="91" xfId="25" applyNumberFormat="1" applyFont="1" applyFill="1" applyBorder="1" applyAlignment="1">
      <alignment horizontal="right"/>
    </xf>
    <xf numFmtId="9" fontId="6" fillId="0" borderId="99" xfId="25" applyNumberFormat="1" applyFont="1" applyFill="1" applyBorder="1" applyAlignment="1">
      <alignment horizontal="right"/>
    </xf>
    <xf numFmtId="9" fontId="6" fillId="0" borderId="136" xfId="25" applyNumberFormat="1" applyFont="1" applyFill="1" applyBorder="1" applyAlignment="1">
      <alignment horizontal="right"/>
    </xf>
    <xf numFmtId="165" fontId="6" fillId="3" borderId="97" xfId="25" applyNumberFormat="1" applyFont="1" applyFill="1" applyBorder="1" applyAlignment="1">
      <alignment horizontal="right"/>
    </xf>
    <xf numFmtId="165" fontId="6" fillId="0" borderId="158" xfId="25" applyNumberFormat="1" applyFont="1" applyFill="1" applyBorder="1" applyAlignment="1">
      <alignment horizontal="right"/>
    </xf>
    <xf numFmtId="9" fontId="6" fillId="3" borderId="158" xfId="25" applyNumberFormat="1" applyFont="1" applyFill="1" applyBorder="1" applyAlignment="1">
      <alignment horizontal="right"/>
    </xf>
    <xf numFmtId="9" fontId="6" fillId="0" borderId="139" xfId="25" applyNumberFormat="1" applyFont="1" applyFill="1" applyBorder="1" applyAlignment="1">
      <alignment horizontal="right"/>
    </xf>
    <xf numFmtId="9" fontId="6" fillId="0" borderId="158" xfId="25" applyNumberFormat="1" applyFont="1" applyFill="1" applyBorder="1" applyAlignment="1">
      <alignment horizontal="right"/>
    </xf>
    <xf numFmtId="9" fontId="6" fillId="0" borderId="159" xfId="25" applyNumberFormat="1" applyFont="1" applyFill="1" applyBorder="1" applyAlignment="1">
      <alignment horizontal="right"/>
    </xf>
    <xf numFmtId="9" fontId="6" fillId="3" borderId="159" xfId="25" applyNumberFormat="1" applyFont="1" applyFill="1" applyBorder="1" applyAlignment="1">
      <alignment horizontal="right"/>
    </xf>
    <xf numFmtId="0" fontId="5" fillId="9" borderId="49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3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/>
    </xf>
    <xf numFmtId="0" fontId="5" fillId="9" borderId="4" xfId="11" applyFont="1" applyFill="1" applyBorder="1" applyAlignment="1">
      <alignment horizontal="center"/>
    </xf>
    <xf numFmtId="3" fontId="25" fillId="10" borderId="160" xfId="11" applyNumberFormat="1" applyFont="1" applyFill="1" applyBorder="1"/>
    <xf numFmtId="3" fontId="25" fillId="10" borderId="2" xfId="11" applyNumberFormat="1" applyFont="1" applyFill="1" applyBorder="1"/>
    <xf numFmtId="174" fontId="25" fillId="10" borderId="160" xfId="11" applyNumberFormat="1" applyFont="1" applyFill="1" applyBorder="1"/>
    <xf numFmtId="4" fontId="4" fillId="3" borderId="54" xfId="11" applyNumberFormat="1" applyFont="1" applyFill="1" applyBorder="1"/>
    <xf numFmtId="4" fontId="4" fillId="2" borderId="54" xfId="11" applyNumberFormat="1" applyFont="1" applyFill="1" applyBorder="1"/>
    <xf numFmtId="4" fontId="4" fillId="0" borderId="54" xfId="11" applyNumberFormat="1" applyFont="1" applyFill="1" applyBorder="1"/>
    <xf numFmtId="4" fontId="4" fillId="9" borderId="54" xfId="11" applyNumberFormat="1" applyFont="1" applyFill="1" applyBorder="1"/>
    <xf numFmtId="4" fontId="4" fillId="10" borderId="54" xfId="11" applyNumberFormat="1" applyFont="1" applyFill="1" applyBorder="1"/>
    <xf numFmtId="0" fontId="8" fillId="10" borderId="0" xfId="0" applyFont="1" applyFill="1"/>
    <xf numFmtId="166" fontId="18" fillId="10" borderId="0" xfId="28" applyNumberFormat="1" applyFont="1" applyFill="1"/>
    <xf numFmtId="169" fontId="4" fillId="10" borderId="0" xfId="0" applyNumberFormat="1" applyFont="1" applyFill="1" applyBorder="1" applyAlignment="1">
      <alignment horizontal="right" indent="1"/>
    </xf>
    <xf numFmtId="169" fontId="0" fillId="10" borderId="4" xfId="0" applyNumberFormat="1" applyFill="1" applyBorder="1" applyAlignment="1">
      <alignment horizontal="right" indent="1"/>
    </xf>
    <xf numFmtId="169" fontId="0" fillId="10" borderId="2" xfId="0" applyNumberFormat="1" applyFill="1" applyBorder="1" applyAlignment="1">
      <alignment horizontal="right" indent="1"/>
    </xf>
    <xf numFmtId="168" fontId="0" fillId="10" borderId="102" xfId="0" applyNumberFormat="1" applyFill="1" applyBorder="1" applyAlignment="1">
      <alignment horizontal="right" indent="1"/>
    </xf>
    <xf numFmtId="168" fontId="0" fillId="0" borderId="0" xfId="0" applyNumberFormat="1" applyAlignment="1">
      <alignment vertical="center"/>
    </xf>
    <xf numFmtId="168" fontId="4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0" fontId="0" fillId="10" borderId="0" xfId="0" applyFill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180" fontId="50" fillId="10" borderId="0" xfId="0" applyNumberFormat="1" applyFont="1" applyFill="1" applyBorder="1"/>
    <xf numFmtId="17" fontId="50" fillId="10" borderId="176" xfId="11" applyNumberFormat="1" applyFont="1" applyFill="1" applyBorder="1" applyAlignment="1">
      <alignment horizontal="left"/>
    </xf>
    <xf numFmtId="171" fontId="50" fillId="10" borderId="176" xfId="11" applyNumberFormat="1" applyFont="1" applyFill="1" applyBorder="1"/>
    <xf numFmtId="17" fontId="50" fillId="10" borderId="177" xfId="11" applyNumberFormat="1" applyFont="1" applyFill="1" applyBorder="1" applyAlignment="1">
      <alignment horizontal="left"/>
    </xf>
    <xf numFmtId="171" fontId="50" fillId="10" borderId="177" xfId="11" applyNumberFormat="1" applyFont="1" applyFill="1" applyBorder="1"/>
    <xf numFmtId="180" fontId="50" fillId="10" borderId="176" xfId="0" applyNumberFormat="1" applyFont="1" applyFill="1" applyBorder="1"/>
    <xf numFmtId="180" fontId="50" fillId="10" borderId="176" xfId="11" applyNumberFormat="1" applyFont="1" applyFill="1" applyBorder="1"/>
    <xf numFmtId="0" fontId="50" fillId="10" borderId="176" xfId="11" applyFont="1" applyFill="1" applyBorder="1"/>
    <xf numFmtId="180" fontId="68" fillId="10" borderId="176" xfId="11" applyNumberFormat="1" applyFont="1" applyFill="1" applyBorder="1"/>
    <xf numFmtId="170" fontId="50" fillId="10" borderId="176" xfId="11" applyNumberFormat="1" applyFont="1" applyFill="1" applyBorder="1"/>
    <xf numFmtId="172" fontId="50" fillId="10" borderId="176" xfId="11" applyNumberFormat="1" applyFont="1" applyFill="1" applyBorder="1"/>
    <xf numFmtId="172" fontId="68" fillId="10" borderId="176" xfId="11" applyNumberFormat="1" applyFont="1" applyFill="1" applyBorder="1"/>
    <xf numFmtId="171" fontId="68" fillId="10" borderId="176" xfId="11" applyNumberFormat="1" applyFont="1" applyFill="1" applyBorder="1"/>
    <xf numFmtId="17" fontId="50" fillId="10" borderId="176" xfId="11" applyNumberFormat="1" applyFont="1" applyFill="1" applyBorder="1" applyAlignment="1">
      <alignment horizontal="left" vertical="center"/>
    </xf>
    <xf numFmtId="180" fontId="50" fillId="10" borderId="176" xfId="11" applyNumberFormat="1" applyFont="1" applyFill="1" applyBorder="1" applyAlignment="1">
      <alignment vertical="center"/>
    </xf>
    <xf numFmtId="180" fontId="68" fillId="10" borderId="176" xfId="11" applyNumberFormat="1" applyFont="1" applyFill="1" applyBorder="1" applyAlignment="1">
      <alignment vertical="center"/>
    </xf>
    <xf numFmtId="0" fontId="9" fillId="0" borderId="0" xfId="11" applyFont="1" applyAlignment="1">
      <alignment horizontal="left"/>
    </xf>
    <xf numFmtId="168" fontId="63" fillId="15" borderId="79" xfId="0" applyNumberFormat="1" applyFont="1" applyFill="1" applyBorder="1" applyAlignment="1"/>
    <xf numFmtId="168" fontId="63" fillId="15" borderId="24" xfId="0" applyNumberFormat="1" applyFont="1" applyFill="1" applyBorder="1" applyAlignment="1">
      <alignment horizontal="center"/>
    </xf>
    <xf numFmtId="168" fontId="64" fillId="15" borderId="79" xfId="0" applyNumberFormat="1" applyFont="1" applyFill="1" applyBorder="1" applyAlignment="1">
      <alignment horizontal="center"/>
    </xf>
    <xf numFmtId="168" fontId="63" fillId="15" borderId="25" xfId="0" applyNumberFormat="1" applyFont="1" applyFill="1" applyBorder="1" applyAlignment="1">
      <alignment horizontal="center"/>
    </xf>
    <xf numFmtId="168" fontId="63" fillId="15" borderId="82" xfId="0" applyNumberFormat="1" applyFont="1" applyFill="1" applyBorder="1" applyAlignment="1">
      <alignment horizontal="center"/>
    </xf>
    <xf numFmtId="168" fontId="57" fillId="15" borderId="80" xfId="11" applyNumberFormat="1" applyFont="1" applyFill="1" applyBorder="1" applyAlignment="1">
      <alignment horizontal="centerContinuous" vertical="center"/>
    </xf>
    <xf numFmtId="168" fontId="57" fillId="15" borderId="11" xfId="11" applyNumberFormat="1" applyFont="1" applyFill="1" applyBorder="1" applyAlignment="1">
      <alignment horizontal="centerContinuous" vertical="center"/>
    </xf>
    <xf numFmtId="168" fontId="65" fillId="15" borderId="11" xfId="11" applyNumberFormat="1" applyFont="1" applyFill="1" applyBorder="1" applyAlignment="1">
      <alignment horizontal="centerContinuous" vertical="center"/>
    </xf>
    <xf numFmtId="168" fontId="65" fillId="15" borderId="12" xfId="11" applyNumberFormat="1" applyFont="1" applyFill="1" applyBorder="1" applyAlignment="1">
      <alignment horizontal="centerContinuous" vertical="center"/>
    </xf>
    <xf numFmtId="168" fontId="65" fillId="15" borderId="81" xfId="11" applyNumberFormat="1" applyFont="1" applyFill="1" applyBorder="1" applyAlignment="1">
      <alignment horizontal="centerContinuous" vertical="center"/>
    </xf>
    <xf numFmtId="168" fontId="63" fillId="15" borderId="79" xfId="11" applyNumberFormat="1" applyFont="1" applyFill="1" applyBorder="1" applyAlignment="1">
      <alignment vertical="center"/>
    </xf>
    <xf numFmtId="168" fontId="63" fillId="15" borderId="24" xfId="11" applyNumberFormat="1" applyFont="1" applyFill="1" applyBorder="1" applyAlignment="1">
      <alignment horizontal="center" vertical="center"/>
    </xf>
    <xf numFmtId="168" fontId="64" fillId="15" borderId="79" xfId="11" applyNumberFormat="1" applyFont="1" applyFill="1" applyBorder="1" applyAlignment="1">
      <alignment horizontal="center" vertical="center"/>
    </xf>
    <xf numFmtId="168" fontId="63" fillId="15" borderId="25" xfId="11" applyNumberFormat="1" applyFont="1" applyFill="1" applyBorder="1" applyAlignment="1">
      <alignment horizontal="center" vertical="center"/>
    </xf>
    <xf numFmtId="168" fontId="63" fillId="15" borderId="82" xfId="11" applyNumberFormat="1" applyFont="1" applyFill="1" applyBorder="1" applyAlignment="1">
      <alignment horizontal="center" vertical="center"/>
    </xf>
    <xf numFmtId="0" fontId="3" fillId="15" borderId="65" xfId="0" applyFont="1" applyFill="1" applyBorder="1" applyAlignment="1">
      <alignment vertical="center"/>
    </xf>
    <xf numFmtId="0" fontId="3" fillId="15" borderId="49" xfId="0" applyFont="1" applyFill="1" applyBorder="1" applyAlignment="1">
      <alignment horizontal="center" vertical="center"/>
    </xf>
    <xf numFmtId="0" fontId="3" fillId="15" borderId="58" xfId="0" applyFont="1" applyFill="1" applyBorder="1" applyAlignment="1">
      <alignment vertical="center"/>
    </xf>
    <xf numFmtId="0" fontId="3" fillId="15" borderId="57" xfId="0" applyFont="1" applyFill="1" applyBorder="1" applyAlignment="1">
      <alignment horizontal="center" vertical="center"/>
    </xf>
    <xf numFmtId="0" fontId="3" fillId="15" borderId="59" xfId="0" applyFont="1" applyFill="1" applyBorder="1" applyAlignment="1">
      <alignment horizontal="center" vertical="center"/>
    </xf>
    <xf numFmtId="0" fontId="3" fillId="15" borderId="85" xfId="0" applyFont="1" applyFill="1" applyBorder="1" applyAlignment="1">
      <alignment horizontal="center" vertical="center"/>
    </xf>
    <xf numFmtId="0" fontId="3" fillId="15" borderId="86" xfId="0" applyFont="1" applyFill="1" applyBorder="1" applyAlignment="1">
      <alignment horizontal="center" vertical="center"/>
    </xf>
    <xf numFmtId="0" fontId="3" fillId="15" borderId="87" xfId="0" applyFont="1" applyFill="1" applyBorder="1" applyAlignment="1">
      <alignment vertical="center"/>
    </xf>
    <xf numFmtId="0" fontId="3" fillId="15" borderId="14" xfId="0" applyFont="1" applyFill="1" applyBorder="1" applyAlignment="1">
      <alignment horizontal="center" vertical="center"/>
    </xf>
    <xf numFmtId="0" fontId="3" fillId="15" borderId="16" xfId="0" applyFont="1" applyFill="1" applyBorder="1" applyAlignment="1">
      <alignment horizontal="center" vertical="center"/>
    </xf>
    <xf numFmtId="0" fontId="57" fillId="15" borderId="12" xfId="11" applyFont="1" applyFill="1" applyBorder="1" applyAlignment="1">
      <alignment horizontal="centerContinuous"/>
    </xf>
    <xf numFmtId="0" fontId="57" fillId="15" borderId="88" xfId="11" applyFont="1" applyFill="1" applyBorder="1" applyAlignment="1">
      <alignment horizontal="centerContinuous"/>
    </xf>
    <xf numFmtId="0" fontId="57" fillId="15" borderId="80" xfId="11" applyFont="1" applyFill="1" applyBorder="1" applyAlignment="1">
      <alignment horizontal="centerContinuous"/>
    </xf>
    <xf numFmtId="0" fontId="65" fillId="15" borderId="88" xfId="11" applyFont="1" applyFill="1" applyBorder="1" applyAlignment="1">
      <alignment horizontal="centerContinuous"/>
    </xf>
    <xf numFmtId="0" fontId="65" fillId="15" borderId="80" xfId="11" applyFont="1" applyFill="1" applyBorder="1" applyAlignment="1">
      <alignment horizontal="centerContinuous"/>
    </xf>
    <xf numFmtId="0" fontId="63" fillId="15" borderId="38" xfId="11" applyFont="1" applyFill="1" applyBorder="1" applyAlignment="1">
      <alignment horizontal="center"/>
    </xf>
    <xf numFmtId="0" fontId="63" fillId="15" borderId="24" xfId="11" applyFont="1" applyFill="1" applyBorder="1" applyAlignment="1">
      <alignment horizontal="center"/>
    </xf>
    <xf numFmtId="0" fontId="63" fillId="15" borderId="79" xfId="11" applyFont="1" applyFill="1" applyBorder="1" applyAlignment="1">
      <alignment horizontal="center"/>
    </xf>
    <xf numFmtId="0" fontId="63" fillId="15" borderId="5" xfId="11" applyFont="1" applyFill="1" applyBorder="1" applyAlignment="1">
      <alignment horizontal="center"/>
    </xf>
    <xf numFmtId="0" fontId="63" fillId="15" borderId="25" xfId="11" applyFont="1" applyFill="1" applyBorder="1" applyAlignment="1">
      <alignment horizontal="center"/>
    </xf>
    <xf numFmtId="0" fontId="65" fillId="15" borderId="81" xfId="11" applyFont="1" applyFill="1" applyBorder="1" applyAlignment="1">
      <alignment horizontal="centerContinuous"/>
    </xf>
    <xf numFmtId="0" fontId="63" fillId="15" borderId="82" xfId="11" applyFont="1" applyFill="1" applyBorder="1" applyAlignment="1">
      <alignment horizontal="center"/>
    </xf>
    <xf numFmtId="0" fontId="57" fillId="15" borderId="8" xfId="12" applyFont="1" applyFill="1" applyBorder="1" applyAlignment="1">
      <alignment horizontal="center"/>
    </xf>
    <xf numFmtId="0" fontId="63" fillId="15" borderId="100" xfId="12" applyFont="1" applyFill="1" applyBorder="1" applyAlignment="1">
      <alignment horizontal="center"/>
    </xf>
    <xf numFmtId="0" fontId="63" fillId="15" borderId="101" xfId="12" applyFont="1" applyFill="1" applyBorder="1" applyAlignment="1">
      <alignment horizontal="center"/>
    </xf>
    <xf numFmtId="0" fontId="63" fillId="15" borderId="8" xfId="12" applyFont="1" applyFill="1" applyBorder="1" applyAlignment="1">
      <alignment horizontal="center"/>
    </xf>
    <xf numFmtId="0" fontId="63" fillId="15" borderId="109" xfId="12" applyFont="1" applyFill="1" applyBorder="1" applyAlignment="1">
      <alignment horizontal="center"/>
    </xf>
    <xf numFmtId="0" fontId="63" fillId="15" borderId="41" xfId="12" applyFont="1" applyFill="1" applyBorder="1" applyAlignment="1">
      <alignment horizontal="center"/>
    </xf>
    <xf numFmtId="0" fontId="57" fillId="15" borderId="89" xfId="0" applyFont="1" applyFill="1" applyBorder="1" applyAlignment="1">
      <alignment horizontal="center"/>
    </xf>
    <xf numFmtId="0" fontId="63" fillId="15" borderId="114" xfId="0" applyFont="1" applyFill="1" applyBorder="1" applyAlignment="1">
      <alignment horizontal="center"/>
    </xf>
    <xf numFmtId="0" fontId="63" fillId="15" borderId="115" xfId="0" applyFont="1" applyFill="1" applyBorder="1" applyAlignment="1">
      <alignment horizontal="center"/>
    </xf>
    <xf numFmtId="0" fontId="63" fillId="15" borderId="89" xfId="0" applyFont="1" applyFill="1" applyBorder="1" applyAlignment="1">
      <alignment horizontal="center"/>
    </xf>
    <xf numFmtId="0" fontId="63" fillId="15" borderId="118" xfId="0" applyFont="1" applyFill="1" applyBorder="1" applyAlignment="1">
      <alignment horizontal="center"/>
    </xf>
    <xf numFmtId="0" fontId="63" fillId="15" borderId="15" xfId="0" applyFont="1" applyFill="1" applyBorder="1" applyAlignment="1">
      <alignment horizontal="center"/>
    </xf>
    <xf numFmtId="0" fontId="57" fillId="15" borderId="89" xfId="0" applyFont="1" applyFill="1" applyBorder="1" applyAlignment="1">
      <alignment horizontal="center" vertical="center"/>
    </xf>
    <xf numFmtId="0" fontId="57" fillId="15" borderId="14" xfId="0" applyFont="1" applyFill="1" applyBorder="1" applyAlignment="1">
      <alignment horizontal="center" vertical="center"/>
    </xf>
    <xf numFmtId="0" fontId="57" fillId="15" borderId="95" xfId="0" applyFont="1" applyFill="1" applyBorder="1" applyAlignment="1">
      <alignment horizontal="center" vertical="center"/>
    </xf>
    <xf numFmtId="0" fontId="57" fillId="15" borderId="13" xfId="0" applyFont="1" applyFill="1" applyBorder="1" applyAlignment="1">
      <alignment horizontal="center" vertical="center"/>
    </xf>
    <xf numFmtId="0" fontId="57" fillId="15" borderId="84" xfId="0" applyFont="1" applyFill="1" applyBorder="1" applyAlignment="1">
      <alignment horizontal="center" vertical="center"/>
    </xf>
    <xf numFmtId="0" fontId="57" fillId="15" borderId="96" xfId="0" applyFont="1" applyFill="1" applyBorder="1" applyAlignment="1">
      <alignment horizontal="center" vertical="center"/>
    </xf>
    <xf numFmtId="0" fontId="57" fillId="15" borderId="14" xfId="0" applyFont="1" applyFill="1" applyBorder="1" applyAlignment="1">
      <alignment horizontal="center" vertical="center" wrapText="1"/>
    </xf>
    <xf numFmtId="0" fontId="57" fillId="15" borderId="96" xfId="0" applyFont="1" applyFill="1" applyBorder="1" applyAlignment="1">
      <alignment horizontal="center" vertical="center" wrapText="1"/>
    </xf>
    <xf numFmtId="0" fontId="57" fillId="15" borderId="4" xfId="0" applyFont="1" applyFill="1" applyBorder="1" applyAlignment="1">
      <alignment horizontal="center" vertical="center"/>
    </xf>
    <xf numFmtId="0" fontId="57" fillId="15" borderId="145" xfId="0" applyFont="1" applyFill="1" applyBorder="1" applyAlignment="1">
      <alignment horizontal="center" vertical="center"/>
    </xf>
    <xf numFmtId="0" fontId="57" fillId="15" borderId="0" xfId="0" applyFont="1" applyFill="1" applyBorder="1" applyAlignment="1">
      <alignment horizontal="center" vertical="center" wrapText="1"/>
    </xf>
    <xf numFmtId="0" fontId="57" fillId="15" borderId="78" xfId="0" applyFont="1" applyFill="1" applyBorder="1" applyAlignment="1">
      <alignment horizontal="center" vertical="center" wrapText="1"/>
    </xf>
    <xf numFmtId="0" fontId="3" fillId="15" borderId="65" xfId="0" applyFont="1" applyFill="1" applyBorder="1" applyAlignment="1">
      <alignment horizontal="center" vertical="center"/>
    </xf>
    <xf numFmtId="0" fontId="3" fillId="15" borderId="66" xfId="0" applyFont="1" applyFill="1" applyBorder="1" applyAlignment="1">
      <alignment horizontal="center" vertical="center"/>
    </xf>
    <xf numFmtId="0" fontId="3" fillId="15" borderId="58" xfId="0" applyFont="1" applyFill="1" applyBorder="1" applyAlignment="1">
      <alignment horizontal="center" vertical="center"/>
    </xf>
    <xf numFmtId="0" fontId="3" fillId="15" borderId="72" xfId="0" applyFont="1" applyFill="1" applyBorder="1" applyAlignment="1">
      <alignment horizontal="center" vertical="center"/>
    </xf>
    <xf numFmtId="0" fontId="17" fillId="15" borderId="140" xfId="0" applyFont="1" applyFill="1" applyBorder="1" applyAlignment="1">
      <alignment horizontal="center" vertical="center" wrapText="1"/>
    </xf>
    <xf numFmtId="3" fontId="3" fillId="15" borderId="73" xfId="0" applyNumberFormat="1" applyFont="1" applyFill="1" applyBorder="1" applyAlignment="1">
      <alignment horizontal="center" vertical="center"/>
    </xf>
    <xf numFmtId="0" fontId="3" fillId="15" borderId="79" xfId="0" applyFon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center" vertical="center"/>
    </xf>
    <xf numFmtId="0" fontId="3" fillId="15" borderId="25" xfId="0" applyFont="1" applyFill="1" applyBorder="1" applyAlignment="1">
      <alignment horizontal="center" vertical="center"/>
    </xf>
    <xf numFmtId="0" fontId="3" fillId="15" borderId="79" xfId="0" applyFont="1" applyFill="1" applyBorder="1" applyAlignment="1">
      <alignment horizontal="center" vertical="center" wrapText="1"/>
    </xf>
    <xf numFmtId="3" fontId="3" fillId="15" borderId="24" xfId="0" applyNumberFormat="1" applyFont="1" applyFill="1" applyBorder="1" applyAlignment="1">
      <alignment horizontal="center" vertical="center"/>
    </xf>
    <xf numFmtId="3" fontId="3" fillId="15" borderId="25" xfId="0" applyNumberFormat="1" applyFont="1" applyFill="1" applyBorder="1" applyAlignment="1">
      <alignment horizontal="center" vertical="center"/>
    </xf>
    <xf numFmtId="0" fontId="3" fillId="15" borderId="141" xfId="0" applyFont="1" applyFill="1" applyBorder="1" applyAlignment="1">
      <alignment horizontal="center" vertical="center"/>
    </xf>
    <xf numFmtId="0" fontId="3" fillId="15" borderId="64" xfId="12" applyFont="1" applyFill="1" applyBorder="1" applyAlignment="1">
      <alignment horizontal="center" vertical="center"/>
    </xf>
    <xf numFmtId="0" fontId="3" fillId="15" borderId="78" xfId="12" applyFont="1" applyFill="1" applyBorder="1" applyAlignment="1">
      <alignment horizontal="center" vertical="center"/>
    </xf>
    <xf numFmtId="0" fontId="3" fillId="15" borderId="22" xfId="12" applyFont="1" applyFill="1" applyBorder="1" applyAlignment="1">
      <alignment vertical="center" wrapText="1"/>
    </xf>
    <xf numFmtId="0" fontId="57" fillId="15" borderId="48" xfId="11" applyFont="1" applyFill="1" applyBorder="1" applyAlignment="1">
      <alignment horizontal="center" vertical="center"/>
    </xf>
    <xf numFmtId="0" fontId="57" fillId="15" borderId="2" xfId="11" applyFont="1" applyFill="1" applyBorder="1" applyAlignment="1">
      <alignment horizontal="center" vertical="center"/>
    </xf>
    <xf numFmtId="0" fontId="57" fillId="15" borderId="46" xfId="11" applyFont="1" applyFill="1" applyBorder="1" applyAlignment="1">
      <alignment horizontal="center" vertical="center"/>
    </xf>
    <xf numFmtId="0" fontId="57" fillId="15" borderId="45" xfId="11" applyFont="1" applyFill="1" applyBorder="1" applyAlignment="1">
      <alignment horizontal="center" vertical="center"/>
    </xf>
    <xf numFmtId="0" fontId="57" fillId="15" borderId="21" xfId="11" applyFont="1" applyFill="1" applyBorder="1" applyAlignment="1">
      <alignment horizontal="center" vertical="center"/>
    </xf>
    <xf numFmtId="0" fontId="57" fillId="15" borderId="71" xfId="11" applyFont="1" applyFill="1" applyBorder="1" applyAlignment="1">
      <alignment horizontal="center" vertical="center"/>
    </xf>
    <xf numFmtId="0" fontId="55" fillId="15" borderId="26" xfId="11" applyFont="1" applyFill="1" applyBorder="1" applyAlignment="1">
      <alignment horizontal="center"/>
    </xf>
    <xf numFmtId="0" fontId="55" fillId="15" borderId="22" xfId="11" applyFont="1" applyFill="1" applyBorder="1"/>
    <xf numFmtId="0" fontId="56" fillId="15" borderId="18" xfId="11" applyFont="1" applyFill="1" applyBorder="1" applyAlignment="1">
      <alignment horizontal="center"/>
    </xf>
    <xf numFmtId="0" fontId="56" fillId="15" borderId="19" xfId="11" applyFont="1" applyFill="1" applyBorder="1" applyAlignment="1">
      <alignment horizontal="center"/>
    </xf>
    <xf numFmtId="0" fontId="56" fillId="15" borderId="42" xfId="11" applyFont="1" applyFill="1" applyBorder="1" applyAlignment="1">
      <alignment horizontal="center"/>
    </xf>
    <xf numFmtId="0" fontId="57" fillId="15" borderId="60" xfId="11" applyFont="1" applyFill="1" applyBorder="1" applyAlignment="1">
      <alignment horizontal="center"/>
    </xf>
    <xf numFmtId="0" fontId="55" fillId="15" borderId="66" xfId="11" applyFont="1" applyFill="1" applyBorder="1"/>
    <xf numFmtId="0" fontId="56" fillId="15" borderId="20" xfId="11" applyFont="1" applyFill="1" applyBorder="1" applyAlignment="1">
      <alignment horizontal="center"/>
    </xf>
    <xf numFmtId="0" fontId="55" fillId="15" borderId="65" xfId="11" applyFont="1" applyFill="1" applyBorder="1" applyAlignment="1">
      <alignment horizontal="center"/>
    </xf>
    <xf numFmtId="0" fontId="55" fillId="15" borderId="18" xfId="11" applyFont="1" applyFill="1" applyBorder="1" applyAlignment="1">
      <alignment horizontal="center"/>
    </xf>
    <xf numFmtId="0" fontId="55" fillId="15" borderId="19" xfId="11" applyFont="1" applyFill="1" applyBorder="1" applyAlignment="1">
      <alignment horizontal="center"/>
    </xf>
    <xf numFmtId="0" fontId="55" fillId="15" borderId="42" xfId="11" applyFont="1" applyFill="1" applyBorder="1" applyAlignment="1">
      <alignment horizontal="center"/>
    </xf>
    <xf numFmtId="0" fontId="58" fillId="15" borderId="40" xfId="11" applyFont="1" applyFill="1" applyBorder="1" applyAlignment="1">
      <alignment horizontal="center"/>
    </xf>
    <xf numFmtId="0" fontId="58" fillId="15" borderId="60" xfId="11" applyFont="1" applyFill="1" applyBorder="1"/>
    <xf numFmtId="3" fontId="57" fillId="15" borderId="26" xfId="11" applyNumberFormat="1" applyFont="1" applyFill="1" applyBorder="1"/>
    <xf numFmtId="0" fontId="59" fillId="15" borderId="26" xfId="11" applyFont="1" applyFill="1" applyBorder="1" applyAlignment="1">
      <alignment horizontal="center"/>
    </xf>
    <xf numFmtId="0" fontId="3" fillId="15" borderId="21" xfId="11" applyFont="1" applyFill="1" applyBorder="1" applyAlignment="1">
      <alignment horizontal="center"/>
    </xf>
    <xf numFmtId="0" fontId="3" fillId="15" borderId="17" xfId="11" applyFont="1" applyFill="1" applyBorder="1" applyAlignment="1">
      <alignment horizontal="center"/>
    </xf>
    <xf numFmtId="0" fontId="3" fillId="15" borderId="14" xfId="11" applyFont="1" applyFill="1" applyBorder="1"/>
    <xf numFmtId="0" fontId="3" fillId="15" borderId="14" xfId="11" applyFont="1" applyFill="1" applyBorder="1" applyAlignment="1">
      <alignment horizontal="center"/>
    </xf>
    <xf numFmtId="0" fontId="3" fillId="15" borderId="15" xfId="11" applyFont="1" applyFill="1" applyBorder="1" applyAlignment="1">
      <alignment horizontal="center"/>
    </xf>
    <xf numFmtId="0" fontId="4" fillId="9" borderId="49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3" xfId="0" applyNumberFormat="1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4" xfId="11" applyFont="1" applyFill="1" applyBorder="1" applyAlignment="1">
      <alignment horizontal="center"/>
    </xf>
    <xf numFmtId="4" fontId="29" fillId="0" borderId="18" xfId="11" applyNumberFormat="1" applyFont="1" applyFill="1" applyBorder="1"/>
    <xf numFmtId="4" fontId="26" fillId="0" borderId="40" xfId="11" applyNumberFormat="1" applyFont="1" applyFill="1" applyBorder="1"/>
    <xf numFmtId="3" fontId="26" fillId="0" borderId="40" xfId="11" applyNumberFormat="1" applyFont="1" applyFill="1" applyBorder="1"/>
    <xf numFmtId="175" fontId="4" fillId="9" borderId="3" xfId="11" applyNumberFormat="1" applyFont="1" applyFill="1" applyBorder="1" applyAlignment="1">
      <alignment horizontal="center"/>
    </xf>
    <xf numFmtId="175" fontId="4" fillId="9" borderId="3" xfId="0" applyNumberFormat="1" applyFont="1" applyFill="1" applyBorder="1" applyAlignment="1">
      <alignment horizontal="center"/>
    </xf>
    <xf numFmtId="175" fontId="1" fillId="10" borderId="3" xfId="11" applyNumberFormat="1" applyFont="1" applyFill="1" applyBorder="1" applyAlignment="1">
      <alignment horizontal="center"/>
    </xf>
    <xf numFmtId="4" fontId="5" fillId="9" borderId="46" xfId="11" applyNumberFormat="1" applyFont="1" applyFill="1" applyBorder="1"/>
    <xf numFmtId="4" fontId="5" fillId="2" borderId="46" xfId="11" applyNumberFormat="1" applyFont="1" applyFill="1" applyBorder="1"/>
    <xf numFmtId="4" fontId="5" fillId="0" borderId="46" xfId="11" applyNumberFormat="1" applyFont="1" applyFill="1" applyBorder="1"/>
    <xf numFmtId="4" fontId="5" fillId="10" borderId="46" xfId="11" applyNumberFormat="1" applyFont="1" applyFill="1" applyBorder="1"/>
    <xf numFmtId="169" fontId="5" fillId="0" borderId="46" xfId="11" applyNumberFormat="1" applyFont="1" applyFill="1" applyBorder="1"/>
    <xf numFmtId="0" fontId="1" fillId="10" borderId="3" xfId="11" applyFont="1" applyFill="1" applyBorder="1" applyAlignment="1">
      <alignment horizontal="center"/>
    </xf>
    <xf numFmtId="0" fontId="4" fillId="3" borderId="3" xfId="11" applyFont="1" applyFill="1" applyBorder="1" applyAlignment="1">
      <alignment horizontal="center"/>
    </xf>
    <xf numFmtId="0" fontId="3" fillId="10" borderId="145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right" vertical="center" indent="1"/>
    </xf>
    <xf numFmtId="0" fontId="0" fillId="10" borderId="2" xfId="0" applyFill="1" applyBorder="1" applyAlignment="1">
      <alignment horizontal="right" vertical="center" indent="1"/>
    </xf>
    <xf numFmtId="0" fontId="0" fillId="10" borderId="36" xfId="0" applyFill="1" applyBorder="1" applyAlignment="1">
      <alignment vertical="center"/>
    </xf>
    <xf numFmtId="168" fontId="57" fillId="15" borderId="12" xfId="0" applyNumberFormat="1" applyFont="1" applyFill="1" applyBorder="1" applyAlignment="1">
      <alignment horizontal="center" vertical="center"/>
    </xf>
    <xf numFmtId="168" fontId="57" fillId="15" borderId="88" xfId="0" applyNumberFormat="1" applyFont="1" applyFill="1" applyBorder="1" applyAlignment="1">
      <alignment horizontal="center" vertical="center"/>
    </xf>
    <xf numFmtId="168" fontId="57" fillId="15" borderId="140" xfId="0" applyNumberFormat="1" applyFont="1" applyFill="1" applyBorder="1" applyAlignment="1">
      <alignment horizontal="center" vertical="center"/>
    </xf>
    <xf numFmtId="168" fontId="57" fillId="15" borderId="80" xfId="0" applyNumberFormat="1" applyFont="1" applyFill="1" applyBorder="1" applyAlignment="1">
      <alignment horizontal="center" vertical="center"/>
    </xf>
    <xf numFmtId="168" fontId="57" fillId="15" borderId="78" xfId="0" applyNumberFormat="1" applyFont="1" applyFill="1" applyBorder="1" applyAlignment="1">
      <alignment horizontal="center" vertical="center"/>
    </xf>
    <xf numFmtId="168" fontId="57" fillId="15" borderId="6" xfId="0" applyNumberFormat="1" applyFont="1" applyFill="1" applyBorder="1" applyAlignment="1">
      <alignment horizontal="center" vertical="center"/>
    </xf>
    <xf numFmtId="168" fontId="57" fillId="15" borderId="65" xfId="0" applyNumberFormat="1" applyFont="1" applyFill="1" applyBorder="1" applyAlignment="1">
      <alignment horizontal="center" vertical="center"/>
    </xf>
    <xf numFmtId="168" fontId="57" fillId="15" borderId="35" xfId="0" applyNumberFormat="1" applyFont="1" applyFill="1" applyBorder="1" applyAlignment="1">
      <alignment horizontal="center" vertical="center"/>
    </xf>
    <xf numFmtId="0" fontId="12" fillId="10" borderId="0" xfId="0" applyFont="1" applyFill="1" applyAlignment="1"/>
    <xf numFmtId="0" fontId="3" fillId="15" borderId="12" xfId="0" applyFont="1" applyFill="1" applyBorder="1" applyAlignment="1">
      <alignment horizontal="center" vertical="center"/>
    </xf>
    <xf numFmtId="0" fontId="3" fillId="15" borderId="88" xfId="0" applyFont="1" applyFill="1" applyBorder="1" applyAlignment="1">
      <alignment horizontal="center" vertical="center"/>
    </xf>
    <xf numFmtId="0" fontId="3" fillId="15" borderId="140" xfId="0" applyFont="1" applyFill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/>
    </xf>
    <xf numFmtId="0" fontId="3" fillId="15" borderId="95" xfId="0" applyFont="1" applyFill="1" applyBorder="1" applyAlignment="1">
      <alignment horizontal="center" vertical="center"/>
    </xf>
    <xf numFmtId="0" fontId="3" fillId="15" borderId="84" xfId="0" applyFont="1" applyFill="1" applyBorder="1" applyAlignment="1">
      <alignment horizontal="center" vertical="center"/>
    </xf>
    <xf numFmtId="0" fontId="3" fillId="15" borderId="96" xfId="0" applyFont="1" applyFill="1" applyBorder="1" applyAlignment="1">
      <alignment horizontal="center" vertical="center"/>
    </xf>
    <xf numFmtId="0" fontId="4" fillId="0" borderId="0" xfId="11" applyFont="1" applyFill="1" applyBorder="1" applyAlignment="1">
      <alignment horizontal="center"/>
    </xf>
    <xf numFmtId="0" fontId="57" fillId="15" borderId="7" xfId="12" applyFont="1" applyFill="1" applyBorder="1" applyAlignment="1">
      <alignment horizontal="center"/>
    </xf>
    <xf numFmtId="0" fontId="57" fillId="15" borderId="3" xfId="12" applyFont="1" applyFill="1" applyBorder="1" applyAlignment="1">
      <alignment horizontal="center"/>
    </xf>
    <xf numFmtId="0" fontId="57" fillId="15" borderId="8" xfId="12" applyFont="1" applyFill="1" applyBorder="1" applyAlignment="1">
      <alignment horizontal="center"/>
    </xf>
    <xf numFmtId="0" fontId="57" fillId="15" borderId="41" xfId="12" applyFont="1" applyFill="1" applyBorder="1" applyAlignment="1">
      <alignment horizontal="center"/>
    </xf>
    <xf numFmtId="0" fontId="57" fillId="15" borderId="162" xfId="12" applyFont="1" applyFill="1" applyBorder="1" applyAlignment="1">
      <alignment horizontal="center"/>
    </xf>
    <xf numFmtId="0" fontId="57" fillId="15" borderId="17" xfId="12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57" fillId="15" borderId="78" xfId="0" applyFont="1" applyFill="1" applyBorder="1" applyAlignment="1">
      <alignment horizontal="center" vertical="center"/>
    </xf>
    <xf numFmtId="0" fontId="57" fillId="15" borderId="77" xfId="0" applyFont="1" applyFill="1" applyBorder="1" applyAlignment="1">
      <alignment horizontal="center" vertical="center"/>
    </xf>
    <xf numFmtId="0" fontId="57" fillId="15" borderId="64" xfId="0" applyFont="1" applyFill="1" applyBorder="1" applyAlignment="1">
      <alignment horizontal="center"/>
    </xf>
    <xf numFmtId="0" fontId="57" fillId="15" borderId="74" xfId="0" applyFont="1" applyFill="1" applyBorder="1" applyAlignment="1">
      <alignment horizontal="center"/>
    </xf>
    <xf numFmtId="0" fontId="57" fillId="15" borderId="163" xfId="0" applyFont="1" applyFill="1" applyBorder="1" applyAlignment="1">
      <alignment horizontal="center"/>
    </xf>
    <xf numFmtId="0" fontId="57" fillId="15" borderId="75" xfId="0" applyFont="1" applyFill="1" applyBorder="1" applyAlignment="1">
      <alignment horizontal="center"/>
    </xf>
    <xf numFmtId="0" fontId="57" fillId="15" borderId="64" xfId="0" applyFont="1" applyFill="1" applyBorder="1" applyAlignment="1">
      <alignment horizontal="center" vertical="center"/>
    </xf>
    <xf numFmtId="0" fontId="57" fillId="15" borderId="74" xfId="0" applyFont="1" applyFill="1" applyBorder="1" applyAlignment="1">
      <alignment horizontal="center" vertical="center"/>
    </xf>
    <xf numFmtId="0" fontId="57" fillId="15" borderId="164" xfId="0" applyFont="1" applyFill="1" applyBorder="1" applyAlignment="1">
      <alignment horizontal="center" vertical="center"/>
    </xf>
    <xf numFmtId="0" fontId="57" fillId="15" borderId="75" xfId="0" applyFont="1" applyFill="1" applyBorder="1" applyAlignment="1">
      <alignment horizontal="center" vertical="center"/>
    </xf>
    <xf numFmtId="0" fontId="3" fillId="15" borderId="145" xfId="0" applyFont="1" applyFill="1" applyBorder="1" applyAlignment="1">
      <alignment horizontal="center" vertical="center" wrapText="1"/>
    </xf>
    <xf numFmtId="0" fontId="3" fillId="15" borderId="36" xfId="0" applyFont="1" applyFill="1" applyBorder="1" applyAlignment="1">
      <alignment horizontal="center" vertical="center" wrapText="1"/>
    </xf>
    <xf numFmtId="0" fontId="3" fillId="15" borderId="66" xfId="0" applyFont="1" applyFill="1" applyBorder="1" applyAlignment="1">
      <alignment horizontal="center" vertical="center"/>
    </xf>
    <xf numFmtId="0" fontId="0" fillId="15" borderId="53" xfId="0" applyFill="1" applyBorder="1" applyAlignment="1">
      <alignment horizontal="center" vertical="center"/>
    </xf>
    <xf numFmtId="0" fontId="3" fillId="15" borderId="145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0" fontId="3" fillId="15" borderId="65" xfId="0" applyFont="1" applyFill="1" applyBorder="1" applyAlignment="1">
      <alignment horizontal="center" vertical="center"/>
    </xf>
    <xf numFmtId="0" fontId="0" fillId="15" borderId="35" xfId="0" applyFill="1" applyBorder="1" applyAlignment="1">
      <alignment horizontal="center" vertical="center"/>
    </xf>
    <xf numFmtId="0" fontId="57" fillId="15" borderId="72" xfId="0" applyFont="1" applyFill="1" applyBorder="1" applyAlignment="1">
      <alignment horizontal="center" vertical="center"/>
    </xf>
    <xf numFmtId="0" fontId="57" fillId="15" borderId="67" xfId="0" applyFont="1" applyFill="1" applyBorder="1" applyAlignment="1">
      <alignment horizontal="center" vertical="center"/>
    </xf>
    <xf numFmtId="0" fontId="56" fillId="15" borderId="80" xfId="0" applyFont="1" applyFill="1" applyBorder="1" applyAlignment="1">
      <alignment horizontal="center" vertical="center"/>
    </xf>
    <xf numFmtId="0" fontId="56" fillId="15" borderId="11" xfId="0" applyFont="1" applyFill="1" applyBorder="1" applyAlignment="1">
      <alignment horizontal="center" vertical="center"/>
    </xf>
    <xf numFmtId="0" fontId="56" fillId="15" borderId="81" xfId="0" applyFont="1" applyFill="1" applyBorder="1" applyAlignment="1">
      <alignment horizontal="center" vertical="center"/>
    </xf>
    <xf numFmtId="0" fontId="57" fillId="15" borderId="3" xfId="0" applyFont="1" applyFill="1" applyBorder="1" applyAlignment="1">
      <alignment horizontal="center" vertical="center"/>
    </xf>
    <xf numFmtId="0" fontId="57" fillId="15" borderId="165" xfId="0" applyFont="1" applyFill="1" applyBorder="1" applyAlignment="1">
      <alignment horizontal="center" vertical="center"/>
    </xf>
    <xf numFmtId="0" fontId="57" fillId="15" borderId="42" xfId="0" applyFont="1" applyFill="1" applyBorder="1" applyAlignment="1">
      <alignment horizontal="center" vertical="center"/>
    </xf>
    <xf numFmtId="0" fontId="57" fillId="15" borderId="60" xfId="0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3" fillId="15" borderId="78" xfId="0" applyFont="1" applyFill="1" applyBorder="1" applyAlignment="1">
      <alignment horizontal="center" vertical="center"/>
    </xf>
    <xf numFmtId="0" fontId="3" fillId="15" borderId="77" xfId="0" applyFont="1" applyFill="1" applyBorder="1" applyAlignment="1">
      <alignment horizontal="center" vertical="center"/>
    </xf>
    <xf numFmtId="3" fontId="4" fillId="9" borderId="4" xfId="0" applyNumberFormat="1" applyFont="1" applyFill="1" applyBorder="1" applyAlignment="1">
      <alignment horizontal="center" vertical="center"/>
    </xf>
    <xf numFmtId="3" fontId="4" fillId="9" borderId="133" xfId="0" applyNumberFormat="1" applyFont="1" applyFill="1" applyBorder="1" applyAlignment="1">
      <alignment horizontal="center" vertical="center"/>
    </xf>
    <xf numFmtId="3" fontId="3" fillId="15" borderId="72" xfId="0" applyNumberFormat="1" applyFont="1" applyFill="1" applyBorder="1" applyAlignment="1">
      <alignment horizontal="center" vertical="center" wrapText="1"/>
    </xf>
    <xf numFmtId="3" fontId="3" fillId="15" borderId="73" xfId="0" applyNumberFormat="1" applyFont="1" applyFill="1" applyBorder="1" applyAlignment="1">
      <alignment horizontal="center" vertical="center" wrapText="1"/>
    </xf>
    <xf numFmtId="3" fontId="0" fillId="9" borderId="4" xfId="0" applyNumberFormat="1" applyFill="1" applyBorder="1" applyAlignment="1">
      <alignment horizontal="center" vertical="center"/>
    </xf>
    <xf numFmtId="3" fontId="0" fillId="9" borderId="133" xfId="0" applyNumberFormat="1" applyFill="1" applyBorder="1" applyAlignment="1">
      <alignment horizontal="center" vertical="center"/>
    </xf>
    <xf numFmtId="0" fontId="3" fillId="15" borderId="72" xfId="0" applyFont="1" applyFill="1" applyBorder="1" applyAlignment="1">
      <alignment horizontal="center" vertical="center" wrapText="1"/>
    </xf>
    <xf numFmtId="0" fontId="3" fillId="15" borderId="73" xfId="0" applyFont="1" applyFill="1" applyBorder="1" applyAlignment="1">
      <alignment horizontal="center" vertical="center" wrapText="1"/>
    </xf>
    <xf numFmtId="0" fontId="3" fillId="15" borderId="80" xfId="0" applyFont="1" applyFill="1" applyBorder="1" applyAlignment="1">
      <alignment horizontal="center" vertical="center"/>
    </xf>
    <xf numFmtId="3" fontId="0" fillId="10" borderId="4" xfId="0" applyNumberFormat="1" applyFill="1" applyBorder="1" applyAlignment="1">
      <alignment horizontal="center" vertical="center"/>
    </xf>
    <xf numFmtId="3" fontId="0" fillId="10" borderId="133" xfId="0" applyNumberForma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16" fillId="15" borderId="81" xfId="0" applyFont="1" applyFill="1" applyBorder="1" applyAlignment="1">
      <alignment vertical="center"/>
    </xf>
    <xf numFmtId="0" fontId="16" fillId="15" borderId="23" xfId="0" applyFont="1" applyFill="1" applyBorder="1" applyAlignment="1">
      <alignment vertical="center"/>
    </xf>
    <xf numFmtId="0" fontId="16" fillId="15" borderId="82" xfId="0" applyFont="1" applyFill="1" applyBorder="1" applyAlignment="1">
      <alignment vertical="center"/>
    </xf>
    <xf numFmtId="0" fontId="3" fillId="15" borderId="161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left" wrapText="1"/>
    </xf>
    <xf numFmtId="3" fontId="0" fillId="10" borderId="50" xfId="0" applyNumberFormat="1" applyFill="1" applyBorder="1" applyAlignment="1">
      <alignment horizontal="center" vertical="center"/>
    </xf>
    <xf numFmtId="3" fontId="0" fillId="10" borderId="76" xfId="0" applyNumberFormat="1" applyFill="1" applyBorder="1" applyAlignment="1">
      <alignment horizontal="center" vertical="center"/>
    </xf>
    <xf numFmtId="2" fontId="5" fillId="9" borderId="0" xfId="12" applyNumberFormat="1" applyFont="1" applyFill="1" applyBorder="1" applyAlignment="1">
      <alignment horizontal="center"/>
    </xf>
    <xf numFmtId="2" fontId="5" fillId="9" borderId="133" xfId="12" applyNumberFormat="1" applyFont="1" applyFill="1" applyBorder="1" applyAlignment="1">
      <alignment horizontal="center"/>
    </xf>
    <xf numFmtId="2" fontId="5" fillId="0" borderId="0" xfId="12" applyNumberFormat="1" applyFont="1" applyFill="1" applyBorder="1" applyAlignment="1">
      <alignment horizontal="center"/>
    </xf>
    <xf numFmtId="2" fontId="5" fillId="0" borderId="133" xfId="12" applyNumberFormat="1" applyFont="1" applyFill="1" applyBorder="1" applyAlignment="1">
      <alignment horizontal="center"/>
    </xf>
    <xf numFmtId="0" fontId="3" fillId="15" borderId="164" xfId="12" applyFont="1" applyFill="1" applyBorder="1" applyAlignment="1">
      <alignment horizontal="center" vertical="center" wrapText="1"/>
    </xf>
    <xf numFmtId="0" fontId="3" fillId="15" borderId="145" xfId="12" applyFont="1" applyFill="1" applyBorder="1" applyAlignment="1">
      <alignment horizontal="center" vertical="center" wrapText="1"/>
    </xf>
    <xf numFmtId="4" fontId="5" fillId="9" borderId="54" xfId="12" applyNumberFormat="1" applyFont="1" applyFill="1" applyBorder="1" applyAlignment="1">
      <alignment horizontal="center" vertical="center"/>
    </xf>
    <xf numFmtId="4" fontId="5" fillId="9" borderId="2" xfId="12" applyNumberFormat="1" applyFont="1" applyFill="1" applyBorder="1" applyAlignment="1">
      <alignment horizontal="center" vertical="center"/>
    </xf>
    <xf numFmtId="0" fontId="3" fillId="14" borderId="78" xfId="12" applyFont="1" applyFill="1" applyBorder="1" applyAlignment="1">
      <alignment horizontal="center" vertical="center"/>
    </xf>
    <xf numFmtId="0" fontId="3" fillId="14" borderId="3" xfId="12" applyFont="1" applyFill="1" applyBorder="1" applyAlignment="1">
      <alignment horizontal="center" vertical="center"/>
    </xf>
    <xf numFmtId="0" fontId="3" fillId="14" borderId="88" xfId="12" applyFont="1" applyFill="1" applyBorder="1" applyAlignment="1">
      <alignment horizontal="center" vertical="center"/>
    </xf>
    <xf numFmtId="0" fontId="3" fillId="14" borderId="140" xfId="12" applyFont="1" applyFill="1" applyBorder="1" applyAlignment="1">
      <alignment horizontal="center" vertical="center"/>
    </xf>
    <xf numFmtId="0" fontId="3" fillId="15" borderId="74" xfId="12" applyFont="1" applyFill="1" applyBorder="1" applyAlignment="1">
      <alignment horizontal="center" vertical="center" wrapText="1"/>
    </xf>
    <xf numFmtId="0" fontId="3" fillId="15" borderId="75" xfId="12" applyFont="1" applyFill="1" applyBorder="1" applyAlignment="1">
      <alignment horizontal="center" vertical="center" wrapText="1"/>
    </xf>
    <xf numFmtId="9" fontId="6" fillId="3" borderId="170" xfId="22" applyNumberFormat="1" applyFont="1" applyFill="1" applyBorder="1" applyAlignment="1">
      <alignment horizontal="center"/>
    </xf>
    <xf numFmtId="9" fontId="6" fillId="3" borderId="171" xfId="22" applyNumberFormat="1" applyFont="1" applyFill="1" applyBorder="1" applyAlignment="1">
      <alignment horizontal="center"/>
    </xf>
    <xf numFmtId="4" fontId="5" fillId="0" borderId="54" xfId="12" applyNumberFormat="1" applyFont="1" applyFill="1" applyBorder="1" applyAlignment="1">
      <alignment horizontal="center" vertical="center"/>
    </xf>
    <xf numFmtId="4" fontId="5" fillId="0" borderId="2" xfId="12" applyNumberFormat="1" applyFont="1" applyFill="1" applyBorder="1" applyAlignment="1">
      <alignment horizontal="center" vertical="center"/>
    </xf>
    <xf numFmtId="9" fontId="6" fillId="3" borderId="168" xfId="22" applyNumberFormat="1" applyFont="1" applyFill="1" applyBorder="1" applyAlignment="1">
      <alignment horizontal="center"/>
    </xf>
    <xf numFmtId="9" fontId="6" fillId="3" borderId="169" xfId="22" applyNumberFormat="1" applyFont="1" applyFill="1" applyBorder="1" applyAlignment="1">
      <alignment horizontal="center"/>
    </xf>
    <xf numFmtId="9" fontId="6" fillId="2" borderId="170" xfId="22" applyNumberFormat="1" applyFont="1" applyFill="1" applyBorder="1" applyAlignment="1">
      <alignment horizontal="center"/>
    </xf>
    <xf numFmtId="9" fontId="6" fillId="2" borderId="171" xfId="22" applyNumberFormat="1" applyFont="1" applyFill="1" applyBorder="1" applyAlignment="1">
      <alignment horizontal="center"/>
    </xf>
    <xf numFmtId="9" fontId="6" fillId="2" borderId="166" xfId="22" applyNumberFormat="1" applyFont="1" applyFill="1" applyBorder="1" applyAlignment="1">
      <alignment horizontal="center"/>
    </xf>
    <xf numFmtId="9" fontId="6" fillId="2" borderId="167" xfId="22" applyNumberFormat="1" applyFont="1" applyFill="1" applyBorder="1" applyAlignment="1">
      <alignment horizontal="center"/>
    </xf>
    <xf numFmtId="4" fontId="5" fillId="0" borderId="74" xfId="12" applyNumberFormat="1" applyFont="1" applyFill="1" applyBorder="1" applyAlignment="1">
      <alignment horizontal="center" vertical="center"/>
    </xf>
    <xf numFmtId="4" fontId="5" fillId="0" borderId="164" xfId="12" applyNumberFormat="1" applyFont="1" applyFill="1" applyBorder="1" applyAlignment="1">
      <alignment horizontal="center" vertical="center"/>
    </xf>
    <xf numFmtId="4" fontId="5" fillId="0" borderId="37" xfId="12" applyNumberFormat="1" applyFont="1" applyFill="1" applyBorder="1" applyAlignment="1">
      <alignment horizontal="center" vertical="center"/>
    </xf>
    <xf numFmtId="4" fontId="5" fillId="0" borderId="36" xfId="12" applyNumberFormat="1" applyFont="1" applyFill="1" applyBorder="1" applyAlignment="1">
      <alignment horizontal="center" vertical="center"/>
    </xf>
    <xf numFmtId="0" fontId="57" fillId="15" borderId="64" xfId="11" applyFont="1" applyFill="1" applyBorder="1" applyAlignment="1">
      <alignment horizontal="center" vertical="center"/>
    </xf>
    <xf numFmtId="0" fontId="57" fillId="15" borderId="87" xfId="11" applyFont="1" applyFill="1" applyBorder="1" applyAlignment="1">
      <alignment horizontal="center" vertical="center"/>
    </xf>
    <xf numFmtId="0" fontId="57" fillId="15" borderId="172" xfId="11" applyFont="1" applyFill="1" applyBorder="1" applyAlignment="1">
      <alignment horizontal="center" vertical="center"/>
    </xf>
    <xf numFmtId="0" fontId="65" fillId="15" borderId="11" xfId="11" applyFont="1" applyFill="1" applyBorder="1" applyAlignment="1">
      <alignment horizontal="center" vertical="center"/>
    </xf>
    <xf numFmtId="0" fontId="65" fillId="15" borderId="81" xfId="11" applyFont="1" applyFill="1" applyBorder="1" applyAlignment="1">
      <alignment horizontal="center" vertical="center"/>
    </xf>
    <xf numFmtId="0" fontId="57" fillId="15" borderId="161" xfId="11" applyFont="1" applyFill="1" applyBorder="1" applyAlignment="1">
      <alignment horizontal="center" vertical="center"/>
    </xf>
    <xf numFmtId="0" fontId="65" fillId="15" borderId="88" xfId="11" applyFont="1" applyFill="1" applyBorder="1" applyAlignment="1">
      <alignment horizontal="center" vertical="center"/>
    </xf>
    <xf numFmtId="0" fontId="65" fillId="15" borderId="140" xfId="11" applyFont="1" applyFill="1" applyBorder="1" applyAlignment="1">
      <alignment horizontal="center" vertical="center"/>
    </xf>
    <xf numFmtId="0" fontId="57" fillId="15" borderId="10" xfId="11" applyFont="1" applyFill="1" applyBorder="1" applyAlignment="1">
      <alignment horizontal="center" vertical="center"/>
    </xf>
    <xf numFmtId="0" fontId="51" fillId="2" borderId="0" xfId="11" applyFont="1" applyFill="1" applyBorder="1" applyAlignment="1">
      <alignment horizontal="center" vertical="center"/>
    </xf>
    <xf numFmtId="0" fontId="50" fillId="2" borderId="0" xfId="11" applyFont="1" applyFill="1" applyBorder="1" applyAlignment="1">
      <alignment horizontal="center" vertical="center"/>
    </xf>
    <xf numFmtId="0" fontId="57" fillId="15" borderId="173" xfId="11" applyFont="1" applyFill="1" applyBorder="1" applyAlignment="1">
      <alignment horizontal="center" vertical="center" wrapText="1"/>
    </xf>
    <xf numFmtId="0" fontId="57" fillId="15" borderId="174" xfId="11" applyFont="1" applyFill="1" applyBorder="1" applyAlignment="1">
      <alignment horizontal="center" vertical="center" wrapText="1"/>
    </xf>
    <xf numFmtId="0" fontId="57" fillId="15" borderId="66" xfId="11" applyFont="1" applyFill="1" applyBorder="1" applyAlignment="1">
      <alignment horizontal="center" vertical="center" wrapText="1"/>
    </xf>
    <xf numFmtId="0" fontId="57" fillId="15" borderId="86" xfId="11" applyFont="1" applyFill="1" applyBorder="1" applyAlignment="1">
      <alignment horizontal="center" vertical="center" wrapText="1"/>
    </xf>
    <xf numFmtId="0" fontId="29" fillId="0" borderId="165" xfId="11" applyFont="1" applyFill="1" applyBorder="1" applyAlignment="1">
      <alignment horizontal="center"/>
    </xf>
    <xf numFmtId="0" fontId="29" fillId="0" borderId="60" xfId="11" applyFont="1" applyFill="1" applyBorder="1" applyAlignment="1">
      <alignment horizontal="center"/>
    </xf>
    <xf numFmtId="0" fontId="29" fillId="10" borderId="165" xfId="11" applyFont="1" applyFill="1" applyBorder="1" applyAlignment="1">
      <alignment horizontal="center"/>
    </xf>
    <xf numFmtId="0" fontId="29" fillId="10" borderId="60" xfId="11" applyFont="1" applyFill="1" applyBorder="1" applyAlignment="1">
      <alignment horizontal="center"/>
    </xf>
    <xf numFmtId="0" fontId="54" fillId="0" borderId="0" xfId="11" applyFont="1" applyAlignment="1">
      <alignment horizontal="left"/>
    </xf>
    <xf numFmtId="0" fontId="29" fillId="0" borderId="26" xfId="11" applyFont="1" applyFill="1" applyBorder="1" applyAlignment="1">
      <alignment horizontal="center"/>
    </xf>
    <xf numFmtId="0" fontId="29" fillId="0" borderId="22" xfId="11" applyFont="1" applyFill="1" applyBorder="1" applyAlignment="1">
      <alignment horizontal="center"/>
    </xf>
    <xf numFmtId="0" fontId="9" fillId="0" borderId="0" xfId="11" applyFont="1" applyAlignment="1">
      <alignment horizontal="left"/>
    </xf>
    <xf numFmtId="0" fontId="3" fillId="15" borderId="21" xfId="11" applyFont="1" applyFill="1" applyBorder="1" applyAlignment="1">
      <alignment horizontal="center" vertical="center" wrapText="1"/>
    </xf>
    <xf numFmtId="0" fontId="3" fillId="15" borderId="57" xfId="11" applyFont="1" applyFill="1" applyBorder="1" applyAlignment="1">
      <alignment horizontal="center" vertical="center" wrapText="1"/>
    </xf>
    <xf numFmtId="0" fontId="2" fillId="0" borderId="0" xfId="11" applyFont="1" applyBorder="1" applyAlignment="1">
      <alignment horizontal="left"/>
    </xf>
    <xf numFmtId="0" fontId="51" fillId="10" borderId="0" xfId="11" applyFont="1" applyFill="1" applyBorder="1" applyAlignment="1">
      <alignment horizontal="center" vertical="center"/>
    </xf>
    <xf numFmtId="0" fontId="51" fillId="10" borderId="176" xfId="11" applyFont="1" applyFill="1" applyBorder="1" applyAlignment="1">
      <alignment horizontal="center" vertical="center"/>
    </xf>
    <xf numFmtId="0" fontId="51" fillId="10" borderId="177" xfId="11" applyFont="1" applyFill="1" applyBorder="1" applyAlignment="1">
      <alignment horizontal="center" vertical="center"/>
    </xf>
    <xf numFmtId="0" fontId="4" fillId="10" borderId="15" xfId="11" applyFont="1" applyFill="1" applyBorder="1" applyAlignment="1">
      <alignment horizontal="center" vertical="center"/>
    </xf>
    <xf numFmtId="0" fontId="4" fillId="10" borderId="84" xfId="11" applyFont="1" applyFill="1" applyBorder="1" applyAlignment="1">
      <alignment horizontal="center" vertical="center"/>
    </xf>
    <xf numFmtId="9" fontId="5" fillId="10" borderId="21" xfId="22" applyNumberFormat="1" applyFont="1" applyFill="1" applyBorder="1" applyAlignment="1">
      <alignment horizontal="center" vertical="center"/>
    </xf>
    <xf numFmtId="9" fontId="5" fillId="10" borderId="57" xfId="22" applyNumberFormat="1" applyFont="1" applyFill="1" applyBorder="1" applyAlignment="1">
      <alignment horizontal="center" vertical="center"/>
    </xf>
    <xf numFmtId="9" fontId="5" fillId="10" borderId="175" xfId="22" applyNumberFormat="1" applyFont="1" applyFill="1" applyBorder="1" applyAlignment="1">
      <alignment horizontal="center" vertical="center"/>
    </xf>
    <xf numFmtId="0" fontId="57" fillId="16" borderId="64" xfId="11" applyFont="1" applyFill="1" applyBorder="1" applyAlignment="1">
      <alignment horizontal="center"/>
    </xf>
    <xf numFmtId="0" fontId="57" fillId="16" borderId="161" xfId="11" applyFont="1" applyFill="1" applyBorder="1" applyAlignment="1">
      <alignment horizontal="center"/>
    </xf>
    <xf numFmtId="0" fontId="57" fillId="16" borderId="88" xfId="11" applyFont="1" applyFill="1" applyBorder="1" applyAlignment="1">
      <alignment horizontal="center"/>
    </xf>
    <xf numFmtId="0" fontId="57" fillId="16" borderId="140" xfId="11" applyFont="1" applyFill="1" applyBorder="1" applyAlignment="1">
      <alignment horizontal="center"/>
    </xf>
    <xf numFmtId="0" fontId="57" fillId="16" borderId="4" xfId="11" applyFont="1" applyFill="1" applyBorder="1" applyAlignment="1">
      <alignment horizontal="center"/>
    </xf>
    <xf numFmtId="0" fontId="57" fillId="16" borderId="89" xfId="11" applyFont="1" applyFill="1" applyBorder="1" applyAlignment="1">
      <alignment horizontal="center"/>
    </xf>
    <xf numFmtId="0" fontId="57" fillId="16" borderId="95" xfId="11" applyFont="1" applyFill="1" applyBorder="1" applyAlignment="1">
      <alignment horizontal="center"/>
    </xf>
    <xf numFmtId="0" fontId="57" fillId="16" borderId="96" xfId="11" applyFont="1" applyFill="1" applyBorder="1" applyAlignment="1">
      <alignment horizontal="center"/>
    </xf>
    <xf numFmtId="0" fontId="65" fillId="16" borderId="87" xfId="11" applyFont="1" applyFill="1" applyBorder="1" applyAlignment="1">
      <alignment horizontal="center"/>
    </xf>
    <xf numFmtId="169" fontId="57" fillId="16" borderId="89" xfId="11" applyNumberFormat="1" applyFont="1" applyFill="1" applyBorder="1" applyAlignment="1">
      <alignment horizontal="center"/>
    </xf>
    <xf numFmtId="3" fontId="57" fillId="16" borderId="14" xfId="11" applyNumberFormat="1" applyFont="1" applyFill="1" applyBorder="1" applyAlignment="1">
      <alignment horizontal="center"/>
    </xf>
    <xf numFmtId="3" fontId="57" fillId="16" borderId="16" xfId="11" applyNumberFormat="1" applyFont="1" applyFill="1" applyBorder="1" applyAlignment="1">
      <alignment horizontal="center"/>
    </xf>
    <xf numFmtId="181" fontId="4" fillId="0" borderId="14" xfId="11" applyNumberFormat="1" applyFont="1" applyFill="1" applyBorder="1" applyAlignment="1">
      <alignment horizontal="center"/>
    </xf>
    <xf numFmtId="3" fontId="25" fillId="0" borderId="17" xfId="11" applyNumberFormat="1" applyFont="1" applyFill="1" applyBorder="1"/>
    <xf numFmtId="0" fontId="29" fillId="17" borderId="35" xfId="11" applyFont="1" applyFill="1" applyBorder="1" applyAlignment="1">
      <alignment horizontal="center"/>
    </xf>
    <xf numFmtId="0" fontId="29" fillId="17" borderId="36" xfId="11" applyFont="1" applyFill="1" applyBorder="1" applyAlignment="1">
      <alignment horizontal="center"/>
    </xf>
    <xf numFmtId="3" fontId="29" fillId="17" borderId="36" xfId="11" applyNumberFormat="1" applyFont="1" applyFill="1" applyBorder="1"/>
    <xf numFmtId="3" fontId="29" fillId="17" borderId="38" xfId="11" applyNumberFormat="1" applyFont="1" applyFill="1" applyBorder="1"/>
    <xf numFmtId="3" fontId="26" fillId="17" borderId="6" xfId="11" applyNumberFormat="1" applyFont="1" applyFill="1" applyBorder="1"/>
    <xf numFmtId="0" fontId="29" fillId="17" borderId="26" xfId="11" applyFont="1" applyFill="1" applyBorder="1" applyAlignment="1">
      <alignment horizontal="center"/>
    </xf>
    <xf numFmtId="0" fontId="29" fillId="17" borderId="19" xfId="11" applyFont="1" applyFill="1" applyBorder="1" applyAlignment="1">
      <alignment horizontal="center"/>
    </xf>
    <xf numFmtId="3" fontId="29" fillId="17" borderId="19" xfId="11" applyNumberFormat="1" applyFont="1" applyFill="1" applyBorder="1"/>
    <xf numFmtId="3" fontId="26" fillId="17" borderId="40" xfId="11" applyNumberFormat="1" applyFont="1" applyFill="1" applyBorder="1"/>
    <xf numFmtId="3" fontId="4" fillId="0" borderId="0" xfId="11" applyNumberFormat="1" applyFont="1" applyBorder="1" applyAlignment="1">
      <alignment vertical="center"/>
    </xf>
    <xf numFmtId="3" fontId="48" fillId="0" borderId="0" xfId="11" applyNumberFormat="1" applyFont="1" applyBorder="1" applyAlignment="1">
      <alignment vertical="center"/>
    </xf>
    <xf numFmtId="0" fontId="49" fillId="0" borderId="0" xfId="11" applyFont="1" applyAlignment="1">
      <alignment vertical="center"/>
    </xf>
    <xf numFmtId="0" fontId="26" fillId="17" borderId="26" xfId="11" applyFont="1" applyFill="1" applyBorder="1" applyAlignment="1">
      <alignment horizontal="center" vertical="center"/>
    </xf>
    <xf numFmtId="0" fontId="26" fillId="17" borderId="19" xfId="11" applyFont="1" applyFill="1" applyBorder="1" applyAlignment="1">
      <alignment horizontal="center" vertical="center"/>
    </xf>
    <xf numFmtId="3" fontId="26" fillId="17" borderId="19" xfId="11" applyNumberFormat="1" applyFont="1" applyFill="1" applyBorder="1" applyAlignment="1">
      <alignment vertical="center"/>
    </xf>
    <xf numFmtId="3" fontId="26" fillId="17" borderId="22" xfId="11" applyNumberFormat="1" applyFont="1" applyFill="1" applyBorder="1" applyAlignment="1">
      <alignment vertical="center"/>
    </xf>
    <xf numFmtId="0" fontId="25" fillId="10" borderId="2" xfId="11" applyFont="1" applyFill="1" applyBorder="1"/>
    <xf numFmtId="3" fontId="25" fillId="10" borderId="54" xfId="11" applyNumberFormat="1" applyFont="1" applyFill="1" applyBorder="1"/>
    <xf numFmtId="3" fontId="25" fillId="10" borderId="1" xfId="11" applyNumberFormat="1" applyFont="1" applyFill="1" applyBorder="1"/>
    <xf numFmtId="3" fontId="26" fillId="10" borderId="3" xfId="11" applyNumberFormat="1" applyFont="1" applyFill="1" applyBorder="1"/>
    <xf numFmtId="0" fontId="25" fillId="10" borderId="45" xfId="11" applyFont="1" applyFill="1" applyBorder="1" applyAlignment="1">
      <alignment horizontal="center" vertical="center" wrapText="1"/>
    </xf>
    <xf numFmtId="3" fontId="5" fillId="10" borderId="24" xfId="11" applyNumberFormat="1" applyFont="1" applyFill="1" applyBorder="1" applyAlignment="1">
      <alignment vertical="center"/>
    </xf>
    <xf numFmtId="3" fontId="25" fillId="10" borderId="24" xfId="11" applyNumberFormat="1" applyFont="1" applyFill="1" applyBorder="1" applyAlignment="1">
      <alignment vertical="center"/>
    </xf>
    <xf numFmtId="0" fontId="5" fillId="10" borderId="25" xfId="11" applyFill="1" applyBorder="1" applyAlignment="1">
      <alignment vertical="center"/>
    </xf>
    <xf numFmtId="3" fontId="25" fillId="0" borderId="15" xfId="11" applyNumberFormat="1" applyFont="1" applyFill="1" applyBorder="1" applyAlignment="1">
      <alignment vertical="center"/>
    </xf>
    <xf numFmtId="3" fontId="26" fillId="10" borderId="16" xfId="11" applyNumberFormat="1" applyFont="1" applyFill="1" applyBorder="1" applyAlignment="1">
      <alignment vertical="center"/>
    </xf>
    <xf numFmtId="3" fontId="5" fillId="10" borderId="0" xfId="11" applyNumberFormat="1" applyFill="1" applyBorder="1" applyAlignment="1">
      <alignment vertical="center"/>
    </xf>
    <xf numFmtId="3" fontId="5" fillId="10" borderId="0" xfId="11" applyNumberFormat="1" applyFill="1" applyAlignment="1">
      <alignment vertical="center"/>
    </xf>
  </cellXfs>
  <cellStyles count="30">
    <cellStyle name="Diseño" xfId="1"/>
    <cellStyle name="Diseño 2" xfId="2"/>
    <cellStyle name="Euro" xfId="3"/>
    <cellStyle name="Euro 2" xfId="4"/>
    <cellStyle name="Millares 2" xfId="5"/>
    <cellStyle name="Millares 2 2" xfId="6"/>
    <cellStyle name="Millares 2 3" xfId="7"/>
    <cellStyle name="Millares 3" xfId="8"/>
    <cellStyle name="Millares 4" xfId="9"/>
    <cellStyle name="Normal" xfId="0" builtinId="0"/>
    <cellStyle name="Normal 10" xfId="10"/>
    <cellStyle name="Normal 11" xfId="11"/>
    <cellStyle name="Normal 2" xfId="12"/>
    <cellStyle name="Normal 2 2" xfId="13"/>
    <cellStyle name="Normal 3" xfId="14"/>
    <cellStyle name="Normal 4" xfId="15"/>
    <cellStyle name="Normal 5" xfId="16"/>
    <cellStyle name="Normal 6" xfId="17"/>
    <cellStyle name="Normal 7" xfId="18"/>
    <cellStyle name="Porcentaje" xfId="19" builtinId="5"/>
    <cellStyle name="Porcentaje 2" xfId="20"/>
    <cellStyle name="Porcentaje 2 2" xfId="21"/>
    <cellStyle name="Porcentaje 3" xfId="22"/>
    <cellStyle name="Porcentaje 4" xfId="23"/>
    <cellStyle name="Porcentaje 4 2" xfId="24"/>
    <cellStyle name="Porcentaje 5" xfId="25"/>
    <cellStyle name="Porcentaje 5 2" xfId="26"/>
    <cellStyle name="Porcentaje 6" xfId="27"/>
    <cellStyle name="Porcentual 2" xfId="28"/>
    <cellStyle name="Porcentual 2 2" xf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98AF"/>
      <color rgb="FF003A00"/>
      <color rgb="FF9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POTENCIA INSTALADA - GENERADORAS PARA MERCADO ELÉCTRICO
 1 995 -2 019</a:t>
            </a:r>
          </a:p>
        </c:rich>
      </c:tx>
      <c:layout>
        <c:manualLayout>
          <c:xMode val="edge"/>
          <c:yMode val="edge"/>
          <c:x val="0.23672350011366688"/>
          <c:y val="4.3378995433789952E-2"/>
        </c:manualLayout>
      </c:layout>
      <c:overlay val="0"/>
      <c:spPr>
        <a:solidFill>
          <a:srgbClr val="3798AF"/>
        </a:solidFill>
        <a:scene3d>
          <a:camera prst="orthographicFront"/>
          <a:lightRig rig="balanced" dir="t"/>
        </a:scene3d>
        <a:sp3d prstMaterial="plastic">
          <a:bevelT w="57150" h="57150"/>
        </a:sp3d>
      </c:spPr>
    </c:title>
    <c:autoTitleDeleted val="0"/>
    <c:plotArea>
      <c:layout>
        <c:manualLayout>
          <c:layoutTarget val="inner"/>
          <c:xMode val="edge"/>
          <c:yMode val="edge"/>
          <c:x val="9.1240609093903746E-2"/>
          <c:y val="0.24200949196418942"/>
          <c:w val="0.88450242808717738"/>
          <c:h val="0.46917886675083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 Inst'!$V$38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'10.1 P Inst'!$U$39:$U$63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 P Inst'!$V$39:$V$63</c:f>
              <c:numCache>
                <c:formatCode>#\ ##0.00</c:formatCode>
                <c:ptCount val="25"/>
                <c:pt idx="0">
                  <c:v>3185.7</c:v>
                </c:pt>
                <c:pt idx="1">
                  <c:v>3352.8809999999999</c:v>
                </c:pt>
                <c:pt idx="2">
                  <c:v>4325.0209999999997</c:v>
                </c:pt>
                <c:pt idx="3">
                  <c:v>4632.2780000000002</c:v>
                </c:pt>
                <c:pt idx="4">
                  <c:v>4828.2429999999995</c:v>
                </c:pt>
                <c:pt idx="5">
                  <c:v>5148.8509999999997</c:v>
                </c:pt>
                <c:pt idx="6">
                  <c:v>5050.8139999999994</c:v>
                </c:pt>
                <c:pt idx="7">
                  <c:v>5068.0510000000004</c:v>
                </c:pt>
                <c:pt idx="8">
                  <c:v>5095.1030000000001</c:v>
                </c:pt>
                <c:pt idx="9">
                  <c:v>5096.0216000000028</c:v>
                </c:pt>
                <c:pt idx="10">
                  <c:v>5220.6336000000001</c:v>
                </c:pt>
                <c:pt idx="11">
                  <c:v>5625.1415999999999</c:v>
                </c:pt>
                <c:pt idx="12">
                  <c:v>5989.7251999999999</c:v>
                </c:pt>
                <c:pt idx="13">
                  <c:v>5996.9830000000029</c:v>
                </c:pt>
                <c:pt idx="14">
                  <c:v>6723.5160000000024</c:v>
                </c:pt>
                <c:pt idx="15">
                  <c:v>7309.1659999999983</c:v>
                </c:pt>
                <c:pt idx="16">
                  <c:v>7314.2370000000001</c:v>
                </c:pt>
                <c:pt idx="17">
                  <c:v>8267.1709999999985</c:v>
                </c:pt>
                <c:pt idx="18">
                  <c:v>9634.6310000000012</c:v>
                </c:pt>
                <c:pt idx="19">
                  <c:v>9739.2480000000014</c:v>
                </c:pt>
                <c:pt idx="20">
                  <c:v>10717.713</c:v>
                </c:pt>
                <c:pt idx="21">
                  <c:v>13044.474</c:v>
                </c:pt>
                <c:pt idx="22">
                  <c:v>13238.762000000013</c:v>
                </c:pt>
                <c:pt idx="23">
                  <c:v>13649.930000000008</c:v>
                </c:pt>
                <c:pt idx="24">
                  <c:v>13650.195000000011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18-4A45-B4B5-945D8740014B}"/>
            </c:ext>
          </c:extLst>
        </c:ser>
        <c:ser>
          <c:idx val="1"/>
          <c:order val="1"/>
          <c:tx>
            <c:strRef>
              <c:f>'10.1 P Inst'!$W$38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'10.1 P Inst'!$U$39:$U$63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 P Inst'!$W$39:$W$63</c:f>
              <c:numCache>
                <c:formatCode>#\ ##0.00</c:formatCode>
                <c:ptCount val="25"/>
                <c:pt idx="0">
                  <c:v>2190</c:v>
                </c:pt>
                <c:pt idx="1">
                  <c:v>2200.1839999999997</c:v>
                </c:pt>
                <c:pt idx="2">
                  <c:v>2411.5189999999998</c:v>
                </c:pt>
                <c:pt idx="3">
                  <c:v>2467.4160000000002</c:v>
                </c:pt>
                <c:pt idx="4">
                  <c:v>2587.1289999999999</c:v>
                </c:pt>
                <c:pt idx="5">
                  <c:v>2779.26</c:v>
                </c:pt>
                <c:pt idx="6">
                  <c:v>2889.433</c:v>
                </c:pt>
                <c:pt idx="7">
                  <c:v>2917.6020000000012</c:v>
                </c:pt>
                <c:pt idx="8">
                  <c:v>2946.8210000000004</c:v>
                </c:pt>
                <c:pt idx="9">
                  <c:v>2969.0596000000023</c:v>
                </c:pt>
                <c:pt idx="10">
                  <c:v>3119.1996000000004</c:v>
                </c:pt>
                <c:pt idx="11">
                  <c:v>3127.8006</c:v>
                </c:pt>
                <c:pt idx="12">
                  <c:v>3145.1412000000005</c:v>
                </c:pt>
                <c:pt idx="13">
                  <c:v>3152.0380000000018</c:v>
                </c:pt>
                <c:pt idx="14">
                  <c:v>3183.1260000000016</c:v>
                </c:pt>
                <c:pt idx="15">
                  <c:v>3344.7950000000001</c:v>
                </c:pt>
                <c:pt idx="16">
                  <c:v>3357.06</c:v>
                </c:pt>
                <c:pt idx="17">
                  <c:v>3380.829999999999</c:v>
                </c:pt>
                <c:pt idx="18">
                  <c:v>3450.5469999999996</c:v>
                </c:pt>
                <c:pt idx="19">
                  <c:v>3558.2689999999993</c:v>
                </c:pt>
                <c:pt idx="20">
                  <c:v>4047.8670000000002</c:v>
                </c:pt>
                <c:pt idx="21">
                  <c:v>5072.4690000000001</c:v>
                </c:pt>
                <c:pt idx="22">
                  <c:v>5115.7070000000067</c:v>
                </c:pt>
                <c:pt idx="23">
                  <c:v>5232.4620000000004</c:v>
                </c:pt>
                <c:pt idx="24">
                  <c:v>5266.3020000000024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18-4A45-B4B5-945D8740014B}"/>
            </c:ext>
          </c:extLst>
        </c:ser>
        <c:ser>
          <c:idx val="2"/>
          <c:order val="2"/>
          <c:tx>
            <c:strRef>
              <c:f>'10.1 P Inst'!$X$38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'10.1 P Inst'!$U$39:$U$63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 P Inst'!$X$39:$X$63</c:f>
              <c:numCache>
                <c:formatCode>#\ ##0.00</c:formatCode>
                <c:ptCount val="25"/>
                <c:pt idx="0">
                  <c:v>995.7</c:v>
                </c:pt>
                <c:pt idx="1">
                  <c:v>1152.4470000000001</c:v>
                </c:pt>
                <c:pt idx="2">
                  <c:v>1913.252</c:v>
                </c:pt>
                <c:pt idx="3">
                  <c:v>2164.6119999999996</c:v>
                </c:pt>
                <c:pt idx="4">
                  <c:v>2240.4140000000002</c:v>
                </c:pt>
                <c:pt idx="5">
                  <c:v>2368.8910000000001</c:v>
                </c:pt>
                <c:pt idx="6">
                  <c:v>2160.681</c:v>
                </c:pt>
                <c:pt idx="7">
                  <c:v>2149.7489999999998</c:v>
                </c:pt>
                <c:pt idx="8">
                  <c:v>2147.5819999999999</c:v>
                </c:pt>
                <c:pt idx="9">
                  <c:v>2126.2620000000002</c:v>
                </c:pt>
                <c:pt idx="10">
                  <c:v>2100.7339999999995</c:v>
                </c:pt>
                <c:pt idx="11">
                  <c:v>2496.6410000000001</c:v>
                </c:pt>
                <c:pt idx="12">
                  <c:v>2843.884</c:v>
                </c:pt>
                <c:pt idx="13">
                  <c:v>2844.2450000000008</c:v>
                </c:pt>
                <c:pt idx="14">
                  <c:v>3539.6900000000005</c:v>
                </c:pt>
                <c:pt idx="15">
                  <c:v>3963.6709999999989</c:v>
                </c:pt>
                <c:pt idx="16">
                  <c:v>3956.4770000000003</c:v>
                </c:pt>
                <c:pt idx="17">
                  <c:v>4805.6409999999987</c:v>
                </c:pt>
                <c:pt idx="18">
                  <c:v>6103.384</c:v>
                </c:pt>
                <c:pt idx="19">
                  <c:v>5942.2790000000014</c:v>
                </c:pt>
                <c:pt idx="20">
                  <c:v>6334.0459999999994</c:v>
                </c:pt>
                <c:pt idx="21">
                  <c:v>7632.0549999999994</c:v>
                </c:pt>
                <c:pt idx="22">
                  <c:v>7638.6210000000065</c:v>
                </c:pt>
                <c:pt idx="23">
                  <c:v>7760.7340000000077</c:v>
                </c:pt>
                <c:pt idx="24">
                  <c:v>7722.6090000000086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18-4A45-B4B5-945D8740014B}"/>
            </c:ext>
          </c:extLst>
        </c:ser>
        <c:ser>
          <c:idx val="3"/>
          <c:order val="3"/>
          <c:tx>
            <c:strRef>
              <c:f>'10.1 P Inst'!$Y$38</c:f>
              <c:strCache>
                <c:ptCount val="1"/>
                <c:pt idx="0">
                  <c:v>Solar</c:v>
                </c:pt>
              </c:strCache>
            </c:strRef>
          </c:tx>
          <c:invertIfNegative val="0"/>
          <c:cat>
            <c:numRef>
              <c:f>'10.1 P Inst'!$U$39:$U$63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 P Inst'!$Y$39:$Y$63</c:f>
              <c:numCache>
                <c:formatCode>General</c:formatCode>
                <c:ptCount val="25"/>
                <c:pt idx="17" formatCode="#\ ##0.00">
                  <c:v>80</c:v>
                </c:pt>
                <c:pt idx="18" formatCode="#\ ##0.00">
                  <c:v>80</c:v>
                </c:pt>
                <c:pt idx="19" formatCode="#\ ##0.00">
                  <c:v>96</c:v>
                </c:pt>
                <c:pt idx="20" formatCode="#\ ##0.00">
                  <c:v>96</c:v>
                </c:pt>
                <c:pt idx="21" formatCode="#\ ##0.00">
                  <c:v>100</c:v>
                </c:pt>
                <c:pt idx="22" formatCode="#\ ##0.00">
                  <c:v>244.48400000000001</c:v>
                </c:pt>
                <c:pt idx="23" formatCode="#\ ##0.00">
                  <c:v>284.48400000000004</c:v>
                </c:pt>
                <c:pt idx="24" formatCode="#\ ##0.00">
                  <c:v>289.03399999999999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18-4A45-B4B5-945D8740014B}"/>
            </c:ext>
          </c:extLst>
        </c:ser>
        <c:ser>
          <c:idx val="4"/>
          <c:order val="4"/>
          <c:tx>
            <c:strRef>
              <c:f>'10.1 P Inst'!$Z$38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'10.1 P Inst'!$U$39:$U$63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 P Inst'!$Z$39:$Z$63</c:f>
              <c:numCache>
                <c:formatCode>#\ ##0.00</c:formatCode>
                <c:ptCount val="25"/>
                <c:pt idx="19">
                  <c:v>142.69999999999999</c:v>
                </c:pt>
                <c:pt idx="20">
                  <c:v>239.79999999999998</c:v>
                </c:pt>
                <c:pt idx="21">
                  <c:v>239.95</c:v>
                </c:pt>
                <c:pt idx="22">
                  <c:v>239.95</c:v>
                </c:pt>
                <c:pt idx="23">
                  <c:v>372.24999999999994</c:v>
                </c:pt>
                <c:pt idx="24">
                  <c:v>372.24999999999994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918-4A45-B4B5-945D87400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38720"/>
        <c:axId val="123359232"/>
      </c:barChart>
      <c:catAx>
        <c:axId val="12103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335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359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9.5736458139582953E-3"/>
              <c:y val="0.390411677992305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1038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329964659929319"/>
          <c:y val="0.83333477150972557"/>
          <c:w val="0.57001364002727994"/>
          <c:h val="0.10315248265199728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ctr" rtl="0">
              <a:def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PRODUCCIÓN DE ENERGÍA ELÉCTRICA 
PARA USO PROPIO 1 995 - 2 019</a:t>
            </a:r>
          </a:p>
        </c:rich>
      </c:tx>
      <c:layout>
        <c:manualLayout>
          <c:xMode val="edge"/>
          <c:yMode val="edge"/>
          <c:x val="0.3701123109363067"/>
          <c:y val="1.6286544623562434E-2"/>
        </c:manualLayout>
      </c:layout>
      <c:overlay val="0"/>
      <c:spPr>
        <a:solidFill>
          <a:srgbClr val="3798AF"/>
        </a:solidFill>
      </c:spPr>
    </c:title>
    <c:autoTitleDeleted val="0"/>
    <c:plotArea>
      <c:layout>
        <c:manualLayout>
          <c:layoutTarget val="inner"/>
          <c:xMode val="edge"/>
          <c:yMode val="edge"/>
          <c:x val="0.10292409416586047"/>
          <c:y val="0.22801339196958972"/>
          <c:w val="0.86432847259739654"/>
          <c:h val="0.56833663501219556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Prod'!$S$79</c:f>
              <c:strCache>
                <c:ptCount val="1"/>
                <c:pt idx="0">
                  <c:v>Hidráulica</c:v>
                </c:pt>
              </c:strCache>
            </c:strRef>
          </c:tx>
          <c:cat>
            <c:numRef>
              <c:f>'10.4 Prod'!$R$80:$R$104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'10.4 Prod'!$S$80:$S$104</c:f>
              <c:numCache>
                <c:formatCode>0.0</c:formatCode>
                <c:ptCount val="25"/>
                <c:pt idx="0">
                  <c:v>1396.9631319999999</c:v>
                </c:pt>
                <c:pt idx="1">
                  <c:v>1475.6467010000001</c:v>
                </c:pt>
                <c:pt idx="2">
                  <c:v>949.73769199999992</c:v>
                </c:pt>
                <c:pt idx="3">
                  <c:v>441.09136100000001</c:v>
                </c:pt>
                <c:pt idx="4">
                  <c:v>429.98925900000006</c:v>
                </c:pt>
                <c:pt idx="5">
                  <c:v>428.72810099999998</c:v>
                </c:pt>
                <c:pt idx="6">
                  <c:v>426.42942600000003</c:v>
                </c:pt>
                <c:pt idx="7">
                  <c:v>401.9696770000001</c:v>
                </c:pt>
                <c:pt idx="8">
                  <c:v>415.38772300000005</c:v>
                </c:pt>
                <c:pt idx="9">
                  <c:v>424.674328</c:v>
                </c:pt>
                <c:pt idx="10">
                  <c:v>409.88795820724977</c:v>
                </c:pt>
                <c:pt idx="11">
                  <c:v>433.59552104141386</c:v>
                </c:pt>
                <c:pt idx="12">
                  <c:v>441.58805366000001</c:v>
                </c:pt>
                <c:pt idx="13">
                  <c:v>451.82564200000002</c:v>
                </c:pt>
                <c:pt idx="14">
                  <c:v>484.55479200000008</c:v>
                </c:pt>
                <c:pt idx="15">
                  <c:v>484.72467099999994</c:v>
                </c:pt>
                <c:pt idx="16">
                  <c:v>529.90831255000001</c:v>
                </c:pt>
                <c:pt idx="17">
                  <c:v>541.13038300000005</c:v>
                </c:pt>
                <c:pt idx="18">
                  <c:v>610.17786655586588</c:v>
                </c:pt>
                <c:pt idx="19">
                  <c:v>599.73481195450518</c:v>
                </c:pt>
                <c:pt idx="20">
                  <c:v>595.6439478610921</c:v>
                </c:pt>
                <c:pt idx="21">
                  <c:v>519.10842200474076</c:v>
                </c:pt>
                <c:pt idx="22">
                  <c:v>681.50227583925141</c:v>
                </c:pt>
                <c:pt idx="23">
                  <c:v>748.12424245540808</c:v>
                </c:pt>
                <c:pt idx="24">
                  <c:v>692.87706688155458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7-4552-B631-FC5400AE3211}"/>
            </c:ext>
          </c:extLst>
        </c:ser>
        <c:ser>
          <c:idx val="1"/>
          <c:order val="1"/>
          <c:tx>
            <c:strRef>
              <c:f>'10.4 Prod'!$T$79</c:f>
              <c:strCache>
                <c:ptCount val="1"/>
                <c:pt idx="0">
                  <c:v>Térmica</c:v>
                </c:pt>
              </c:strCache>
            </c:strRef>
          </c:tx>
          <c:cat>
            <c:numRef>
              <c:f>'10.4 Prod'!$R$80:$R$104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'10.4 Prod'!$T$80:$T$104</c:f>
              <c:numCache>
                <c:formatCode>0.0</c:formatCode>
                <c:ptCount val="25"/>
                <c:pt idx="0">
                  <c:v>2376.8383720000002</c:v>
                </c:pt>
                <c:pt idx="1">
                  <c:v>2496.5885710000002</c:v>
                </c:pt>
                <c:pt idx="2">
                  <c:v>1655.1130069999999</c:v>
                </c:pt>
                <c:pt idx="3">
                  <c:v>1325.5106380000002</c:v>
                </c:pt>
                <c:pt idx="4">
                  <c:v>1253.40626</c:v>
                </c:pt>
                <c:pt idx="5">
                  <c:v>1166.0715179999995</c:v>
                </c:pt>
                <c:pt idx="6">
                  <c:v>1144.7894669999996</c:v>
                </c:pt>
                <c:pt idx="7">
                  <c:v>1160.8448220000034</c:v>
                </c:pt>
                <c:pt idx="8">
                  <c:v>1146.5032210000034</c:v>
                </c:pt>
                <c:pt idx="9">
                  <c:v>1222.3989520000002</c:v>
                </c:pt>
                <c:pt idx="10">
                  <c:v>1288.9739120000033</c:v>
                </c:pt>
                <c:pt idx="11">
                  <c:v>1322.4694165800001</c:v>
                </c:pt>
                <c:pt idx="12">
                  <c:v>1300.9679980000003</c:v>
                </c:pt>
                <c:pt idx="13">
                  <c:v>1436.5693849999998</c:v>
                </c:pt>
                <c:pt idx="14">
                  <c:v>1538.2782460000001</c:v>
                </c:pt>
                <c:pt idx="15">
                  <c:v>1877.467463</c:v>
                </c:pt>
                <c:pt idx="16">
                  <c:v>2028.0206412236719</c:v>
                </c:pt>
                <c:pt idx="17">
                  <c:v>2133.8233494079464</c:v>
                </c:pt>
                <c:pt idx="18">
                  <c:v>2055.3336747505405</c:v>
                </c:pt>
                <c:pt idx="19">
                  <c:v>2103.8370311792924</c:v>
                </c:pt>
                <c:pt idx="20">
                  <c:v>1963.3722324690784</c:v>
                </c:pt>
                <c:pt idx="21">
                  <c:v>1633.6378200948011</c:v>
                </c:pt>
                <c:pt idx="22">
                  <c:v>1673.6888596570498</c:v>
                </c:pt>
                <c:pt idx="23">
                  <c:v>1782.6383302716361</c:v>
                </c:pt>
                <c:pt idx="24">
                  <c:v>1827.0350967214581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07-4552-B631-FC5400AE3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771584"/>
        <c:axId val="304092288"/>
      </c:areaChart>
      <c:catAx>
        <c:axId val="30277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30409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092288"/>
        <c:scaling>
          <c:orientation val="minMax"/>
          <c:max val="5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2.2129919956629055E-2"/>
              <c:y val="0.445615307550278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302771584"/>
        <c:crosses val="autoZero"/>
        <c:crossBetween val="midCat"/>
        <c:majorUnit val="1000"/>
        <c:minorUnit val="500"/>
      </c:valAx>
    </c:plotArea>
    <c:legend>
      <c:legendPos val="b"/>
      <c:overlay val="0"/>
    </c:legend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LÍNEAS DE TRANSMISIÓN A NIVEL NACIONAL
1995 - 2019</a:t>
            </a:r>
          </a:p>
        </c:rich>
      </c:tx>
      <c:layout>
        <c:manualLayout>
          <c:xMode val="edge"/>
          <c:yMode val="edge"/>
          <c:x val="0.31846709691164593"/>
          <c:y val="6.9883634487885538E-2"/>
        </c:manualLayout>
      </c:layout>
      <c:overlay val="0"/>
      <c:spPr>
        <a:solidFill>
          <a:srgbClr val="3798AF"/>
        </a:solidFill>
        <a:scene3d>
          <a:camera prst="orthographicFront"/>
          <a:lightRig rig="balanced" dir="t"/>
        </a:scene3d>
        <a:sp3d>
          <a:bevelT w="44450" h="57150"/>
        </a:sp3d>
      </c:spPr>
    </c:title>
    <c:autoTitleDeleted val="0"/>
    <c:plotArea>
      <c:layout>
        <c:manualLayout>
          <c:layoutTarget val="inner"/>
          <c:xMode val="edge"/>
          <c:yMode val="edge"/>
          <c:x val="0.12326869806094183"/>
          <c:y val="0.22523326202721769"/>
          <c:w val="0.81440443213296398"/>
          <c:h val="0.5111013001987467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'10.5 Lineas'!$P$7:$P$8</c:f>
              <c:strCache>
                <c:ptCount val="1"/>
                <c:pt idx="0">
                  <c:v>500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'10.5 Lineas'!$N$9:$N$33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2011*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'10.5 Lineas'!$P$9:$P$33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89.9</c:v>
                </c:pt>
                <c:pt idx="17">
                  <c:v>611.9</c:v>
                </c:pt>
                <c:pt idx="18">
                  <c:v>621.86</c:v>
                </c:pt>
                <c:pt idx="19">
                  <c:v>1838.46</c:v>
                </c:pt>
                <c:pt idx="20">
                  <c:v>1838.46</c:v>
                </c:pt>
                <c:pt idx="21">
                  <c:v>1969.8000000000002</c:v>
                </c:pt>
                <c:pt idx="22">
                  <c:v>2882</c:v>
                </c:pt>
                <c:pt idx="23">
                  <c:v>2883.3999999999996</c:v>
                </c:pt>
                <c:pt idx="24">
                  <c:v>2883.4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C8-41CF-977E-9FD6E637ADF6}"/>
            </c:ext>
          </c:extLst>
        </c:ser>
        <c:ser>
          <c:idx val="2"/>
          <c:order val="1"/>
          <c:tx>
            <c:strRef>
              <c:f>'10.5 Lineas'!$Q$7:$Q$8</c:f>
              <c:strCache>
                <c:ptCount val="1"/>
                <c:pt idx="0">
                  <c:v>220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'10.5 Lineas'!$N$9:$N$33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2011*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'10.5 Lineas'!$Q$9:$Q$33</c:f>
              <c:numCache>
                <c:formatCode>#,##0</c:formatCode>
                <c:ptCount val="25"/>
                <c:pt idx="0">
                  <c:v>3129.692</c:v>
                </c:pt>
                <c:pt idx="1">
                  <c:v>3129.692</c:v>
                </c:pt>
                <c:pt idx="2">
                  <c:v>3625.4960000000001</c:v>
                </c:pt>
                <c:pt idx="3">
                  <c:v>3625.4960000000001</c:v>
                </c:pt>
                <c:pt idx="4">
                  <c:v>3996.306</c:v>
                </c:pt>
                <c:pt idx="5">
                  <c:v>4860.0660900000003</c:v>
                </c:pt>
                <c:pt idx="6">
                  <c:v>5318.1030899999996</c:v>
                </c:pt>
                <c:pt idx="7">
                  <c:v>5558.6770900000001</c:v>
                </c:pt>
                <c:pt idx="8">
                  <c:v>5558.6770900000001</c:v>
                </c:pt>
                <c:pt idx="9">
                  <c:v>5613.9770900000003</c:v>
                </c:pt>
                <c:pt idx="10">
                  <c:v>5613.9770900000003</c:v>
                </c:pt>
                <c:pt idx="11">
                  <c:v>5664.0870899999991</c:v>
                </c:pt>
                <c:pt idx="12">
                  <c:v>5676.9770899999985</c:v>
                </c:pt>
                <c:pt idx="13">
                  <c:v>5710.7150899999997</c:v>
                </c:pt>
                <c:pt idx="14">
                  <c:v>5714.2660900000001</c:v>
                </c:pt>
                <c:pt idx="15">
                  <c:v>5862.5670899999986</c:v>
                </c:pt>
                <c:pt idx="16">
                  <c:v>7105.9870899999996</c:v>
                </c:pt>
                <c:pt idx="17">
                  <c:v>7459.7680899999996</c:v>
                </c:pt>
                <c:pt idx="18">
                  <c:v>7841.6769999999997</c:v>
                </c:pt>
                <c:pt idx="19">
                  <c:v>8240.8355100000008</c:v>
                </c:pt>
                <c:pt idx="20">
                  <c:v>8665.1200000000008</c:v>
                </c:pt>
                <c:pt idx="21">
                  <c:v>9567.8435099999933</c:v>
                </c:pt>
                <c:pt idx="22">
                  <c:v>10162.963509999998</c:v>
                </c:pt>
                <c:pt idx="23">
                  <c:v>10966.555509999998</c:v>
                </c:pt>
                <c:pt idx="24">
                  <c:v>11107.53551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C8-41CF-977E-9FD6E637ADF6}"/>
            </c:ext>
          </c:extLst>
        </c:ser>
        <c:ser>
          <c:idx val="3"/>
          <c:order val="2"/>
          <c:tx>
            <c:strRef>
              <c:f>'10.5 Lineas'!$R$7:$R$8</c:f>
              <c:strCache>
                <c:ptCount val="1"/>
                <c:pt idx="0">
                  <c:v>138</c:v>
                </c:pt>
              </c:strCache>
            </c:strRef>
          </c:tx>
          <c:invertIfNegative val="0"/>
          <c:cat>
            <c:strRef>
              <c:f>'10.5 Lineas'!$N$9:$N$33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2011*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'10.5 Lineas'!$R$9:$R$33</c:f>
              <c:numCache>
                <c:formatCode>#,##0</c:formatCode>
                <c:ptCount val="25"/>
                <c:pt idx="0">
                  <c:v>1872.9719999999998</c:v>
                </c:pt>
                <c:pt idx="1">
                  <c:v>1872.9719999999998</c:v>
                </c:pt>
                <c:pt idx="2">
                  <c:v>2240.8330000000005</c:v>
                </c:pt>
                <c:pt idx="3">
                  <c:v>2410.5329999999999</c:v>
                </c:pt>
                <c:pt idx="4">
                  <c:v>2920.413</c:v>
                </c:pt>
                <c:pt idx="5">
                  <c:v>3135.1529999999998</c:v>
                </c:pt>
                <c:pt idx="6">
                  <c:v>3183.0039999999999</c:v>
                </c:pt>
                <c:pt idx="7">
                  <c:v>3331.1639999999998</c:v>
                </c:pt>
                <c:pt idx="8">
                  <c:v>3338.1639999999998</c:v>
                </c:pt>
                <c:pt idx="9">
                  <c:v>3337.61</c:v>
                </c:pt>
                <c:pt idx="10">
                  <c:v>3435</c:v>
                </c:pt>
                <c:pt idx="11">
                  <c:v>3636.3779999999997</c:v>
                </c:pt>
                <c:pt idx="12">
                  <c:v>3636.3779999999997</c:v>
                </c:pt>
                <c:pt idx="13">
                  <c:v>3636.3779999999992</c:v>
                </c:pt>
                <c:pt idx="14">
                  <c:v>4057.0279999999998</c:v>
                </c:pt>
                <c:pt idx="15">
                  <c:v>4252.0780000000004</c:v>
                </c:pt>
                <c:pt idx="16">
                  <c:v>4277.8440000000001</c:v>
                </c:pt>
                <c:pt idx="17">
                  <c:v>4285.6540000000005</c:v>
                </c:pt>
                <c:pt idx="18">
                  <c:v>4416.9339999999993</c:v>
                </c:pt>
                <c:pt idx="19">
                  <c:v>4368.3289000000004</c:v>
                </c:pt>
                <c:pt idx="20">
                  <c:v>4368.78</c:v>
                </c:pt>
                <c:pt idx="21">
                  <c:v>4432.2038999999995</c:v>
                </c:pt>
                <c:pt idx="22">
                  <c:v>4386.0339000000004</c:v>
                </c:pt>
                <c:pt idx="23">
                  <c:v>4738.1038999999982</c:v>
                </c:pt>
                <c:pt idx="24">
                  <c:v>4796.773900000001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C8-41CF-977E-9FD6E637ADF6}"/>
            </c:ext>
          </c:extLst>
        </c:ser>
        <c:ser>
          <c:idx val="4"/>
          <c:order val="3"/>
          <c:tx>
            <c:strRef>
              <c:f>'10.5 Lineas'!$S$7:$S$8</c:f>
              <c:strCache>
                <c:ptCount val="1"/>
                <c:pt idx="0">
                  <c:v>60 - 69</c:v>
                </c:pt>
              </c:strCache>
            </c:strRef>
          </c:tx>
          <c:invertIfNegative val="0"/>
          <c:cat>
            <c:strRef>
              <c:f>'10.5 Lineas'!$N$9:$N$33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2011*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'10.5 Lineas'!$S$9:$S$33</c:f>
              <c:numCache>
                <c:formatCode>#,##0</c:formatCode>
                <c:ptCount val="25"/>
                <c:pt idx="0">
                  <c:v>3030.6320000000001</c:v>
                </c:pt>
                <c:pt idx="1">
                  <c:v>3277.7189999999996</c:v>
                </c:pt>
                <c:pt idx="2">
                  <c:v>3629.1389999999992</c:v>
                </c:pt>
                <c:pt idx="3">
                  <c:v>3894.5229999999988</c:v>
                </c:pt>
                <c:pt idx="4">
                  <c:v>4189.570999999999</c:v>
                </c:pt>
                <c:pt idx="5">
                  <c:v>4213.37</c:v>
                </c:pt>
                <c:pt idx="6">
                  <c:v>4309.5889999999999</c:v>
                </c:pt>
                <c:pt idx="7">
                  <c:v>4334.5889999999999</c:v>
                </c:pt>
                <c:pt idx="8">
                  <c:v>4335.3109999999997</c:v>
                </c:pt>
                <c:pt idx="9">
                  <c:v>4335.3109999999997</c:v>
                </c:pt>
                <c:pt idx="10">
                  <c:v>4678</c:v>
                </c:pt>
                <c:pt idx="11">
                  <c:v>4841.8579999999993</c:v>
                </c:pt>
                <c:pt idx="12">
                  <c:v>4852.7879999999996</c:v>
                </c:pt>
                <c:pt idx="13">
                  <c:v>4862.1620000000003</c:v>
                </c:pt>
                <c:pt idx="14">
                  <c:v>4992.9470000000001</c:v>
                </c:pt>
                <c:pt idx="15">
                  <c:v>5204.0582000000004</c:v>
                </c:pt>
                <c:pt idx="16">
                  <c:v>5607.8222000000023</c:v>
                </c:pt>
                <c:pt idx="17">
                  <c:v>5782.9882000000034</c:v>
                </c:pt>
                <c:pt idx="18">
                  <c:v>5907.1522000000004</c:v>
                </c:pt>
                <c:pt idx="19">
                  <c:v>4888.8531000000021</c:v>
                </c:pt>
                <c:pt idx="20">
                  <c:v>5022.3391000000011</c:v>
                </c:pt>
                <c:pt idx="21">
                  <c:v>5230.0291000000043</c:v>
                </c:pt>
                <c:pt idx="22">
                  <c:v>5403.9190999999992</c:v>
                </c:pt>
                <c:pt idx="23">
                  <c:v>7008.2821000000004</c:v>
                </c:pt>
                <c:pt idx="24">
                  <c:v>7185.3420999999944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DC8-41CF-977E-9FD6E637ADF6}"/>
            </c:ext>
          </c:extLst>
        </c:ser>
        <c:ser>
          <c:idx val="0"/>
          <c:order val="4"/>
          <c:tx>
            <c:strRef>
              <c:f>'10.5 Lineas'!$T$7:$T$8</c:f>
              <c:strCache>
                <c:ptCount val="1"/>
                <c:pt idx="0">
                  <c:v>30 - 50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'10.5 Lineas'!$N$9:$N$33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2011*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'10.5 Lineas'!$T$9:$T$33</c:f>
              <c:numCache>
                <c:formatCode>#,##0</c:formatCode>
                <c:ptCount val="25"/>
                <c:pt idx="0">
                  <c:v>1098.24</c:v>
                </c:pt>
                <c:pt idx="1">
                  <c:v>1129.69</c:v>
                </c:pt>
                <c:pt idx="2">
                  <c:v>1328.998</c:v>
                </c:pt>
                <c:pt idx="3">
                  <c:v>1397.6559999999999</c:v>
                </c:pt>
                <c:pt idx="4">
                  <c:v>1421.38</c:v>
                </c:pt>
                <c:pt idx="5">
                  <c:v>1447.4109999999998</c:v>
                </c:pt>
                <c:pt idx="6">
                  <c:v>1449.94</c:v>
                </c:pt>
                <c:pt idx="7">
                  <c:v>1454.345</c:v>
                </c:pt>
                <c:pt idx="8">
                  <c:v>1460.845</c:v>
                </c:pt>
                <c:pt idx="9">
                  <c:v>1569.7659999999996</c:v>
                </c:pt>
                <c:pt idx="10">
                  <c:v>1545</c:v>
                </c:pt>
                <c:pt idx="11">
                  <c:v>1545.7479999999998</c:v>
                </c:pt>
                <c:pt idx="12">
                  <c:v>1545.7479999999998</c:v>
                </c:pt>
                <c:pt idx="13">
                  <c:v>1545.7479999999998</c:v>
                </c:pt>
                <c:pt idx="14">
                  <c:v>1555.16</c:v>
                </c:pt>
                <c:pt idx="15">
                  <c:v>1746.1599999999999</c:v>
                </c:pt>
                <c:pt idx="16">
                  <c:v>1751.7279999999994</c:v>
                </c:pt>
                <c:pt idx="17">
                  <c:v>1795.4479999999992</c:v>
                </c:pt>
                <c:pt idx="18">
                  <c:v>1797.4960000000001</c:v>
                </c:pt>
                <c:pt idx="19">
                  <c:v>2252.5648200000005</c:v>
                </c:pt>
                <c:pt idx="20">
                  <c:v>2278.5619999999999</c:v>
                </c:pt>
                <c:pt idx="21">
                  <c:v>2288.2648200000003</c:v>
                </c:pt>
                <c:pt idx="22">
                  <c:v>2010.2848200000008</c:v>
                </c:pt>
                <c:pt idx="23">
                  <c:v>2666.0648200000001</c:v>
                </c:pt>
                <c:pt idx="24">
                  <c:v>2666.0648199999991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DC8-41CF-977E-9FD6E637A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7706880"/>
        <c:axId val="329252864"/>
      </c:barChart>
      <c:catAx>
        <c:axId val="32770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8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2925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9252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(km)</a:t>
                </a:r>
              </a:p>
            </c:rich>
          </c:tx>
          <c:layout>
            <c:manualLayout>
              <c:xMode val="edge"/>
              <c:yMode val="edge"/>
              <c:x val="2.3545585550396958E-2"/>
              <c:y val="0.4608705414713334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27706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524052588127726"/>
          <c:y val="0.88406050399769398"/>
          <c:w val="0.59210325879501813"/>
          <c:h val="8.39919287545704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 algn="ctr" rtl="0">
              <a:def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VENTAS DE ENERGÍA ELÉCTRICA  POR TIPO DE MERCADO</a:t>
            </a:r>
          </a:p>
          <a:p>
            <a:pPr algn="ctr" rtl="0">
              <a:def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1 995 - 2 019</a:t>
            </a:r>
          </a:p>
        </c:rich>
      </c:tx>
      <c:layout>
        <c:manualLayout>
          <c:xMode val="edge"/>
          <c:yMode val="edge"/>
          <c:x val="0.22021898216112817"/>
          <c:y val="2.7583196485466054E-2"/>
        </c:manualLayout>
      </c:layout>
      <c:overlay val="0"/>
      <c:spPr>
        <a:solidFill>
          <a:srgbClr val="3798AF"/>
        </a:solidFill>
        <a:scene3d>
          <a:camera prst="orthographicFront"/>
          <a:lightRig rig="balanced" dir="t"/>
        </a:scene3d>
        <a:sp3d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9.2105693333383726E-2"/>
          <c:y val="0.1841651806120114"/>
          <c:w val="0.8809852437399488"/>
          <c:h val="0.70086151269692887"/>
        </c:manualLayout>
      </c:layout>
      <c:areaChart>
        <c:grouping val="stacked"/>
        <c:varyColors val="0"/>
        <c:ser>
          <c:idx val="0"/>
          <c:order val="0"/>
          <c:tx>
            <c:strRef>
              <c:f>'10.6 Ventas'!$O$6:$O$7</c:f>
              <c:strCache>
                <c:ptCount val="1"/>
                <c:pt idx="0">
                  <c:v>Regulados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400"/>
                      <a:t>Regulado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080-47FE-A4E7-3882E65A34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'10.6 Ventas'!$N$8:$N$33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'10.6 Ventas'!$O$8:$O$33</c:f>
              <c:numCache>
                <c:formatCode>#\ ##0.00</c:formatCode>
                <c:ptCount val="26"/>
                <c:pt idx="0">
                  <c:v>6430.3848620000044</c:v>
                </c:pt>
                <c:pt idx="1">
                  <c:v>6781.8158419999918</c:v>
                </c:pt>
                <c:pt idx="2">
                  <c:v>7291.6494419999917</c:v>
                </c:pt>
                <c:pt idx="3">
                  <c:v>7755.838101999997</c:v>
                </c:pt>
                <c:pt idx="4">
                  <c:v>8071.8733350000111</c:v>
                </c:pt>
                <c:pt idx="5">
                  <c:v>8406.7782800000132</c:v>
                </c:pt>
                <c:pt idx="6">
                  <c:v>8654.8532329999871</c:v>
                </c:pt>
                <c:pt idx="7">
                  <c:v>9221.8888070000012</c:v>
                </c:pt>
                <c:pt idx="8">
                  <c:v>9610.7902890000005</c:v>
                </c:pt>
                <c:pt idx="9">
                  <c:v>10352.511363000001</c:v>
                </c:pt>
                <c:pt idx="10">
                  <c:v>11150.106846222223</c:v>
                </c:pt>
                <c:pt idx="11">
                  <c:v>12169.514937999998</c:v>
                </c:pt>
                <c:pt idx="12">
                  <c:v>13346.184469</c:v>
                </c:pt>
                <c:pt idx="13">
                  <c:v>14569.444074000001</c:v>
                </c:pt>
                <c:pt idx="14">
                  <c:v>15204.704771999996</c:v>
                </c:pt>
                <c:pt idx="15">
                  <c:v>16430.850569000002</c:v>
                </c:pt>
                <c:pt idx="16">
                  <c:v>17891.5565232511</c:v>
                </c:pt>
                <c:pt idx="17">
                  <c:v>18962.169935999998</c:v>
                </c:pt>
                <c:pt idx="18">
                  <c:v>19881.575264999999</c:v>
                </c:pt>
                <c:pt idx="19">
                  <c:v>20763.971397291498</c:v>
                </c:pt>
                <c:pt idx="20">
                  <c:v>21493.034900000002</c:v>
                </c:pt>
                <c:pt idx="21">
                  <c:v>20865.202581000038</c:v>
                </c:pt>
                <c:pt idx="22">
                  <c:v>19466.014226119965</c:v>
                </c:pt>
                <c:pt idx="23">
                  <c:v>19466.014226119965</c:v>
                </c:pt>
                <c:pt idx="24">
                  <c:v>19149.967832780123</c:v>
                </c:pt>
                <c:pt idx="25">
                  <c:v>19137.950690000001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80-47FE-A4E7-3882E65A3400}"/>
            </c:ext>
          </c:extLst>
        </c:ser>
        <c:ser>
          <c:idx val="1"/>
          <c:order val="1"/>
          <c:tx>
            <c:strRef>
              <c:f>'10.6 Ventas'!$P$6:$P$7</c:f>
              <c:strCache>
                <c:ptCount val="1"/>
                <c:pt idx="0">
                  <c:v>Libres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400"/>
                      <a:t>Libre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080-47FE-A4E7-3882E65A34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'10.6 Ventas'!$N$8:$N$33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'10.6 Ventas'!$P$8:$P$33</c:f>
              <c:numCache>
                <c:formatCode>#\ ##0.00</c:formatCode>
                <c:ptCount val="26"/>
                <c:pt idx="0">
                  <c:v>3418.8712659999997</c:v>
                </c:pt>
                <c:pt idx="1">
                  <c:v>3549.0237560000005</c:v>
                </c:pt>
                <c:pt idx="2">
                  <c:v>5159.5807179999993</c:v>
                </c:pt>
                <c:pt idx="3">
                  <c:v>6252.7387210000006</c:v>
                </c:pt>
                <c:pt idx="4">
                  <c:v>6520.0182239999995</c:v>
                </c:pt>
                <c:pt idx="5">
                  <c:v>7138.8171120000006</c:v>
                </c:pt>
                <c:pt idx="6">
                  <c:v>7973.901312</c:v>
                </c:pt>
                <c:pt idx="7">
                  <c:v>8383.4371068479995</c:v>
                </c:pt>
                <c:pt idx="8">
                  <c:v>8764.545121000001</c:v>
                </c:pt>
                <c:pt idx="9">
                  <c:v>9288.1397469999993</c:v>
                </c:pt>
                <c:pt idx="10">
                  <c:v>9551.2760340000004</c:v>
                </c:pt>
                <c:pt idx="11">
                  <c:v>10120.546214999998</c:v>
                </c:pt>
                <c:pt idx="12">
                  <c:v>11375.564084000001</c:v>
                </c:pt>
                <c:pt idx="13">
                  <c:v>12394.970522</c:v>
                </c:pt>
                <c:pt idx="14">
                  <c:v>11882.301004999999</c:v>
                </c:pt>
                <c:pt idx="15">
                  <c:v>13005.324554999999</c:v>
                </c:pt>
                <c:pt idx="16">
                  <c:v>13928.794281999999</c:v>
                </c:pt>
                <c:pt idx="17">
                  <c:v>14686.015998999999</c:v>
                </c:pt>
                <c:pt idx="18">
                  <c:v>15728.077434999999</c:v>
                </c:pt>
                <c:pt idx="19">
                  <c:v>16563.805596905615</c:v>
                </c:pt>
                <c:pt idx="20">
                  <c:v>18281.709699999999</c:v>
                </c:pt>
                <c:pt idx="21">
                  <c:v>22501.796529700005</c:v>
                </c:pt>
                <c:pt idx="22">
                  <c:v>24757.238591149995</c:v>
                </c:pt>
                <c:pt idx="23">
                  <c:v>24757.238591149995</c:v>
                </c:pt>
                <c:pt idx="24">
                  <c:v>26717.820009409941</c:v>
                </c:pt>
                <c:pt idx="25">
                  <c:v>28282.787221999999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80-47FE-A4E7-3882E65A3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300224"/>
        <c:axId val="331331072"/>
      </c:areaChart>
      <c:catAx>
        <c:axId val="33130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33133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1331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5.8139819386983397E-3"/>
              <c:y val="0.486631016042780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331300224"/>
        <c:crosses val="autoZero"/>
        <c:crossBetween val="midCat"/>
        <c:majorUnit val="4000"/>
        <c:minorUnit val="1000"/>
      </c:valAx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 algn="ctr" rtl="0">
              <a:def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VENTAS DE ENERGÍA POR TIPO DE EMPRESA
1 995 - 2 019</a:t>
            </a:r>
          </a:p>
        </c:rich>
      </c:tx>
      <c:layout>
        <c:manualLayout>
          <c:xMode val="edge"/>
          <c:yMode val="edge"/>
          <c:x val="0.26930161389400792"/>
          <c:y val="5.4522289573138399E-2"/>
        </c:manualLayout>
      </c:layout>
      <c:overlay val="0"/>
      <c:spPr>
        <a:solidFill>
          <a:srgbClr val="3798AF"/>
        </a:solidFill>
      </c:spPr>
    </c:title>
    <c:autoTitleDeleted val="0"/>
    <c:plotArea>
      <c:layout>
        <c:manualLayout>
          <c:layoutTarget val="inner"/>
          <c:xMode val="edge"/>
          <c:yMode val="edge"/>
          <c:x val="9.6466258339381314E-2"/>
          <c:y val="0.24552460328659897"/>
          <c:w val="0.87814686045126888"/>
          <c:h val="0.62915679592190987"/>
        </c:manualLayout>
      </c:layout>
      <c:areaChart>
        <c:grouping val="stacked"/>
        <c:varyColors val="0"/>
        <c:ser>
          <c:idx val="0"/>
          <c:order val="0"/>
          <c:tx>
            <c:strRef>
              <c:f>'10.6 Ventas'!$O$40:$O$42</c:f>
              <c:strCache>
                <c:ptCount val="1"/>
                <c:pt idx="0">
                  <c:v>Distribuidoras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 sz="1400"/>
                      <a:t>Distribuidoras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BF7-47DD-8509-7778F7198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'10.6 Ventas'!$N$43:$N$67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'10.6 Ventas'!$O$43:$O$67</c:f>
              <c:numCache>
                <c:formatCode>#\ ##0.00</c:formatCode>
                <c:ptCount val="25"/>
                <c:pt idx="0">
                  <c:v>8673.7080870000045</c:v>
                </c:pt>
                <c:pt idx="1">
                  <c:v>8770.6107359999914</c:v>
                </c:pt>
                <c:pt idx="2">
                  <c:v>9377.8946799999903</c:v>
                </c:pt>
                <c:pt idx="3">
                  <c:v>9878.6615729999976</c:v>
                </c:pt>
                <c:pt idx="4">
                  <c:v>10198.891027000011</c:v>
                </c:pt>
                <c:pt idx="5">
                  <c:v>10763.269271000014</c:v>
                </c:pt>
                <c:pt idx="6">
                  <c:v>10522.374724999987</c:v>
                </c:pt>
                <c:pt idx="7">
                  <c:v>11113.547163000001</c:v>
                </c:pt>
                <c:pt idx="8">
                  <c:v>11303.613573000001</c:v>
                </c:pt>
                <c:pt idx="9">
                  <c:v>12001.305316000002</c:v>
                </c:pt>
                <c:pt idx="10">
                  <c:v>12914.287800222222</c:v>
                </c:pt>
                <c:pt idx="11">
                  <c:v>14043.638326999999</c:v>
                </c:pt>
                <c:pt idx="12">
                  <c:v>15032.180855000001</c:v>
                </c:pt>
                <c:pt idx="13">
                  <c:v>16297.176545</c:v>
                </c:pt>
                <c:pt idx="14">
                  <c:v>17000.664144999995</c:v>
                </c:pt>
                <c:pt idx="15">
                  <c:v>18195.325098000001</c:v>
                </c:pt>
                <c:pt idx="16">
                  <c:v>19753.040698251101</c:v>
                </c:pt>
                <c:pt idx="17">
                  <c:v>20947.295381</c:v>
                </c:pt>
                <c:pt idx="18">
                  <c:v>21935.480477000001</c:v>
                </c:pt>
                <c:pt idx="19">
                  <c:v>22781.971993397114</c:v>
                </c:pt>
                <c:pt idx="20">
                  <c:v>23494.010900000001</c:v>
                </c:pt>
                <c:pt idx="21">
                  <c:v>22886.332354000038</c:v>
                </c:pt>
                <c:pt idx="22">
                  <c:v>22399.543247369966</c:v>
                </c:pt>
                <c:pt idx="23">
                  <c:v>22073.874790390117</c:v>
                </c:pt>
                <c:pt idx="24">
                  <c:v>22355.024662000003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F7-47DD-8509-7778F719853E}"/>
            </c:ext>
          </c:extLst>
        </c:ser>
        <c:ser>
          <c:idx val="1"/>
          <c:order val="1"/>
          <c:tx>
            <c:strRef>
              <c:f>'10.6 Ventas'!$P$40:$P$42</c:f>
              <c:strCache>
                <c:ptCount val="1"/>
                <c:pt idx="0">
                  <c:v>Generadoras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 sz="1400"/>
                      <a:t>Generadoras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BF7-47DD-8509-7778F7198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'10.6 Ventas'!$N$43:$N$67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'10.6 Ventas'!$P$43:$P$67</c:f>
              <c:numCache>
                <c:formatCode>#\ ##0.00</c:formatCode>
                <c:ptCount val="25"/>
                <c:pt idx="0">
                  <c:v>1175.548041</c:v>
                </c:pt>
                <c:pt idx="1">
                  <c:v>1560.2288619999999</c:v>
                </c:pt>
                <c:pt idx="2">
                  <c:v>3073.3354799999997</c:v>
                </c:pt>
                <c:pt idx="3">
                  <c:v>4129.9152500000009</c:v>
                </c:pt>
                <c:pt idx="4">
                  <c:v>4393.000532</c:v>
                </c:pt>
                <c:pt idx="5">
                  <c:v>4782.3261210000001</c:v>
                </c:pt>
                <c:pt idx="6">
                  <c:v>6106.3798200000001</c:v>
                </c:pt>
                <c:pt idx="7">
                  <c:v>6491.7787508479996</c:v>
                </c:pt>
                <c:pt idx="8">
                  <c:v>7071.721837000001</c:v>
                </c:pt>
                <c:pt idx="9">
                  <c:v>7639.3457939999998</c:v>
                </c:pt>
                <c:pt idx="10">
                  <c:v>7787.095080000001</c:v>
                </c:pt>
                <c:pt idx="11">
                  <c:v>8246.4228259999982</c:v>
                </c:pt>
                <c:pt idx="12">
                  <c:v>9689.5676980000007</c:v>
                </c:pt>
                <c:pt idx="13">
                  <c:v>10667.238051</c:v>
                </c:pt>
                <c:pt idx="14">
                  <c:v>10086.341632</c:v>
                </c:pt>
                <c:pt idx="15">
                  <c:v>11240.850026</c:v>
                </c:pt>
                <c:pt idx="16">
                  <c:v>12067.310106999999</c:v>
                </c:pt>
                <c:pt idx="17">
                  <c:v>12700.890554</c:v>
                </c:pt>
                <c:pt idx="18">
                  <c:v>13674.172223</c:v>
                </c:pt>
                <c:pt idx="19">
                  <c:v>14545.805000799999</c:v>
                </c:pt>
                <c:pt idx="20">
                  <c:v>16280.733700000001</c:v>
                </c:pt>
                <c:pt idx="21">
                  <c:v>20480.666756700004</c:v>
                </c:pt>
                <c:pt idx="22">
                  <c:v>21823.709569899995</c:v>
                </c:pt>
                <c:pt idx="23">
                  <c:v>23793.913051799947</c:v>
                </c:pt>
                <c:pt idx="24">
                  <c:v>25065.713250000001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BF7-47DD-8509-7778F7198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801600"/>
        <c:axId val="337804672"/>
      </c:areaChart>
      <c:catAx>
        <c:axId val="33780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33780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7804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5.7870106662199139E-3"/>
              <c:y val="0.4680312275543561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337801600"/>
        <c:crosses val="autoZero"/>
        <c:crossBetween val="midCat"/>
        <c:majorUnit val="4000"/>
        <c:minorUnit val="1000"/>
      </c:valAx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LA FACTURACIÓN POR VENTA FINAL DE ENERGÍA ELÉCTRICA AL MERCADO LIBRE Y REGULADO 1995 - 2019</a:t>
            </a:r>
          </a:p>
        </c:rich>
      </c:tx>
      <c:layout>
        <c:manualLayout>
          <c:xMode val="edge"/>
          <c:yMode val="edge"/>
          <c:x val="0.10871863239317307"/>
          <c:y val="4.0937402613591509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balanced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68441069279978"/>
          <c:y val="0.23192771084337349"/>
          <c:w val="0.87019864933499291"/>
          <c:h val="0.67771084337349397"/>
        </c:manualLayout>
      </c:layout>
      <c:areaChart>
        <c:grouping val="stacked"/>
        <c:varyColors val="0"/>
        <c:ser>
          <c:idx val="0"/>
          <c:order val="0"/>
          <c:tx>
            <c:strRef>
              <c:f>'10.7 Facturacion'!$O$39</c:f>
              <c:strCache>
                <c:ptCount val="1"/>
                <c:pt idx="0">
                  <c:v>Regulados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/>
            </a:sp3d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sz="1400"/>
                      <a:t>Regulado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A71-4B44-BCDF-D7327F4B4A3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'10.7 Facturacion'!$N$40:$N$64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'10.7 Facturacion'!$O$40:$O$64</c:f>
              <c:numCache>
                <c:formatCode>#\ ##0.00</c:formatCode>
                <c:ptCount val="25"/>
                <c:pt idx="0">
                  <c:v>652594.70505039126</c:v>
                </c:pt>
                <c:pt idx="1">
                  <c:v>703942.0843935553</c:v>
                </c:pt>
                <c:pt idx="2">
                  <c:v>739882.06859937776</c:v>
                </c:pt>
                <c:pt idx="3">
                  <c:v>678887.14895575435</c:v>
                </c:pt>
                <c:pt idx="4">
                  <c:v>670509.97864915198</c:v>
                </c:pt>
                <c:pt idx="5">
                  <c:v>740329.43935992219</c:v>
                </c:pt>
                <c:pt idx="6">
                  <c:v>761192.05792891572</c:v>
                </c:pt>
                <c:pt idx="7">
                  <c:v>764543.09032842796</c:v>
                </c:pt>
                <c:pt idx="8">
                  <c:v>811107.14639795315</c:v>
                </c:pt>
                <c:pt idx="9">
                  <c:v>897997.70685053943</c:v>
                </c:pt>
                <c:pt idx="10">
                  <c:v>1048137.0214944701</c:v>
                </c:pt>
                <c:pt idx="11">
                  <c:v>1120521.0639498956</c:v>
                </c:pt>
                <c:pt idx="12">
                  <c:v>1213689.4778540342</c:v>
                </c:pt>
                <c:pt idx="13">
                  <c:v>1393393.8557439279</c:v>
                </c:pt>
                <c:pt idx="14">
                  <c:v>1556915.7010486</c:v>
                </c:pt>
                <c:pt idx="15">
                  <c:v>1718589.3030064055</c:v>
                </c:pt>
                <c:pt idx="16">
                  <c:v>1984402.4158051817</c:v>
                </c:pt>
                <c:pt idx="17">
                  <c:v>2313676.2538387571</c:v>
                </c:pt>
                <c:pt idx="18">
                  <c:v>2432390.4404826746</c:v>
                </c:pt>
                <c:pt idx="19">
                  <c:v>2788652.8472375898</c:v>
                </c:pt>
                <c:pt idx="20">
                  <c:v>2880093.06</c:v>
                </c:pt>
                <c:pt idx="21">
                  <c:v>2947578.3042463912</c:v>
                </c:pt>
                <c:pt idx="22">
                  <c:v>2915208.574825678</c:v>
                </c:pt>
                <c:pt idx="23">
                  <c:v>3048268.389888241</c:v>
                </c:pt>
                <c:pt idx="24">
                  <c:v>3151419.017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71-4B44-BCDF-D7327F4B4A33}"/>
            </c:ext>
          </c:extLst>
        </c:ser>
        <c:ser>
          <c:idx val="1"/>
          <c:order val="1"/>
          <c:tx>
            <c:strRef>
              <c:f>'10.7 Facturacion'!$P$39</c:f>
              <c:strCache>
                <c:ptCount val="1"/>
                <c:pt idx="0">
                  <c:v>Libres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7150" h="50800"/>
            </a:sp3d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sz="1400"/>
                      <a:t>Libre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A71-4B44-BCDF-D7327F4B4A3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'10.7 Facturacion'!$N$40:$N$64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'10.7 Facturacion'!$P$40:$P$64</c:f>
              <c:numCache>
                <c:formatCode>#\ ##0.00</c:formatCode>
                <c:ptCount val="25"/>
                <c:pt idx="0">
                  <c:v>174081.29663935103</c:v>
                </c:pt>
                <c:pt idx="1">
                  <c:v>189428.31074726206</c:v>
                </c:pt>
                <c:pt idx="2">
                  <c:v>279655.46801755915</c:v>
                </c:pt>
                <c:pt idx="3">
                  <c:v>309257.82158949709</c:v>
                </c:pt>
                <c:pt idx="4">
                  <c:v>321449.38961757824</c:v>
                </c:pt>
                <c:pt idx="5">
                  <c:v>372740.06090845715</c:v>
                </c:pt>
                <c:pt idx="6">
                  <c:v>378166.4559096325</c:v>
                </c:pt>
                <c:pt idx="7">
                  <c:v>392524.06993930548</c:v>
                </c:pt>
                <c:pt idx="8">
                  <c:v>406102.99727272848</c:v>
                </c:pt>
                <c:pt idx="9">
                  <c:v>484302.30495956831</c:v>
                </c:pt>
                <c:pt idx="10">
                  <c:v>531072.24960191001</c:v>
                </c:pt>
                <c:pt idx="11">
                  <c:v>562647.84035601164</c:v>
                </c:pt>
                <c:pt idx="12">
                  <c:v>616942.18558020808</c:v>
                </c:pt>
                <c:pt idx="13">
                  <c:v>822706.11743943871</c:v>
                </c:pt>
                <c:pt idx="14">
                  <c:v>679142.45276880008</c:v>
                </c:pt>
                <c:pt idx="15">
                  <c:v>729945.72519655328</c:v>
                </c:pt>
                <c:pt idx="16">
                  <c:v>875989.13955361478</c:v>
                </c:pt>
                <c:pt idx="17">
                  <c:v>985449.24548825575</c:v>
                </c:pt>
                <c:pt idx="18">
                  <c:v>1103835.8889688132</c:v>
                </c:pt>
                <c:pt idx="19">
                  <c:v>1236693.2682361822</c:v>
                </c:pt>
                <c:pt idx="20">
                  <c:v>1291318.33</c:v>
                </c:pt>
                <c:pt idx="21">
                  <c:v>1501878.1512877787</c:v>
                </c:pt>
                <c:pt idx="22">
                  <c:v>1564489.5915317368</c:v>
                </c:pt>
                <c:pt idx="23">
                  <c:v>1684287.6966351643</c:v>
                </c:pt>
                <c:pt idx="24">
                  <c:v>1781290.22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A71-4B44-BCDF-D7327F4B4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880064"/>
        <c:axId val="343882752"/>
      </c:areaChart>
      <c:catAx>
        <c:axId val="3438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4388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88275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Miles de US $</a:t>
                </a:r>
              </a:p>
            </c:rich>
          </c:tx>
          <c:layout>
            <c:manualLayout>
              <c:xMode val="edge"/>
              <c:yMode val="edge"/>
              <c:x val="7.5162826868863612E-3"/>
              <c:y val="0.32340667179135585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438800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LA FACTURACIÓN POR VENTA DE ENERGÍA SEGÚN TIPO DE EMPRESA
1995 - 2019</a:t>
            </a:r>
          </a:p>
        </c:rich>
      </c:tx>
      <c:layout>
        <c:manualLayout>
          <c:xMode val="edge"/>
          <c:yMode val="edge"/>
          <c:x val="0.17653188171774511"/>
          <c:y val="3.2544535656447195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322487899970427"/>
          <c:y val="0.20186374529270798"/>
          <c:w val="0.87327344315612943"/>
          <c:h val="0.69754495035946595"/>
        </c:manualLayout>
      </c:layout>
      <c:areaChart>
        <c:grouping val="stacked"/>
        <c:varyColors val="0"/>
        <c:ser>
          <c:idx val="0"/>
          <c:order val="0"/>
          <c:tx>
            <c:strRef>
              <c:f>'10.7 Facturacion'!$O$67</c:f>
              <c:strCache>
                <c:ptCount val="1"/>
                <c:pt idx="0">
                  <c:v>Distribuidoras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gamma/>
                    <a:shade val="46275"/>
                    <a:invGamma/>
                  </a:srgbClr>
                </a:gs>
                <a:gs pos="100000">
                  <a:srgbClr val="008080"/>
                </a:gs>
              </a:gsLst>
              <a:lin ang="540000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'10.7 Facturacion'!$N$68:$N$92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'10.7 Facturacion'!$O$68:$O$92</c:f>
              <c:numCache>
                <c:formatCode>#\ ##0.00</c:formatCode>
                <c:ptCount val="25"/>
                <c:pt idx="0">
                  <c:v>776779.19139398972</c:v>
                </c:pt>
                <c:pt idx="1">
                  <c:v>822460.27859264216</c:v>
                </c:pt>
                <c:pt idx="2">
                  <c:v>859351.67959043023</c:v>
                </c:pt>
                <c:pt idx="3">
                  <c:v>786060.99965563859</c:v>
                </c:pt>
                <c:pt idx="4">
                  <c:v>778389.13985393988</c:v>
                </c:pt>
                <c:pt idx="5">
                  <c:v>866072.13672822504</c:v>
                </c:pt>
                <c:pt idx="6">
                  <c:v>862632.28368588316</c:v>
                </c:pt>
                <c:pt idx="7">
                  <c:v>862228.11757443007</c:v>
                </c:pt>
                <c:pt idx="8">
                  <c:v>901096.17241545301</c:v>
                </c:pt>
                <c:pt idx="9">
                  <c:v>986870.11767828721</c:v>
                </c:pt>
                <c:pt idx="10">
                  <c:v>1147775.8928376874</c:v>
                </c:pt>
                <c:pt idx="11">
                  <c:v>1222413.6377595204</c:v>
                </c:pt>
                <c:pt idx="12">
                  <c:v>1305447.8754961956</c:v>
                </c:pt>
                <c:pt idx="13">
                  <c:v>1501002.7378177985</c:v>
                </c:pt>
                <c:pt idx="14">
                  <c:v>1675664.7528214001</c:v>
                </c:pt>
                <c:pt idx="15">
                  <c:v>1841104.1163105767</c:v>
                </c:pt>
                <c:pt idx="16">
                  <c:v>2130475.7425380684</c:v>
                </c:pt>
                <c:pt idx="17">
                  <c:v>2474533.5608113473</c:v>
                </c:pt>
                <c:pt idx="18">
                  <c:v>2617666.0377430008</c:v>
                </c:pt>
                <c:pt idx="19">
                  <c:v>2974214.4336705087</c:v>
                </c:pt>
                <c:pt idx="20">
                  <c:v>3054173.97</c:v>
                </c:pt>
                <c:pt idx="21">
                  <c:v>3107945.2125680889</c:v>
                </c:pt>
                <c:pt idx="22">
                  <c:v>3135319.541849813</c:v>
                </c:pt>
                <c:pt idx="23">
                  <c:v>3262079.7526476942</c:v>
                </c:pt>
                <c:pt idx="24">
                  <c:v>3390349.5109999999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60-440F-9230-8F9E786F5075}"/>
            </c:ext>
          </c:extLst>
        </c:ser>
        <c:ser>
          <c:idx val="1"/>
          <c:order val="1"/>
          <c:tx>
            <c:strRef>
              <c:f>'10.7 Facturacion'!$P$67</c:f>
              <c:strCache>
                <c:ptCount val="1"/>
                <c:pt idx="0">
                  <c:v>Generadoras</c:v>
                </c:pt>
              </c:strCache>
            </c:strRef>
          </c:tx>
          <c:spPr>
            <a:gradFill rotWithShape="0">
              <a:gsLst>
                <a:gs pos="0">
                  <a:srgbClr val="CCFFCC"/>
                </a:gs>
                <a:gs pos="100000">
                  <a:srgbClr val="CCFFCC">
                    <a:gamma/>
                    <a:shade val="83137"/>
                    <a:invGamma/>
                  </a:srgbClr>
                </a:gs>
              </a:gsLst>
              <a:lin ang="540000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sz="1200" b="1"/>
                      <a:t>Generadoras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560-440F-9230-8F9E786F507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'10.7 Facturacion'!$N$68:$N$92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'10.7 Facturacion'!$P$68:$P$92</c:f>
              <c:numCache>
                <c:formatCode>#\ ##0.00</c:formatCode>
                <c:ptCount val="25"/>
                <c:pt idx="0">
                  <c:v>49896.810295752563</c:v>
                </c:pt>
                <c:pt idx="1">
                  <c:v>70910.116548175167</c:v>
                </c:pt>
                <c:pt idx="2">
                  <c:v>160185.85702650671</c:v>
                </c:pt>
                <c:pt idx="3">
                  <c:v>202083.97088961289</c:v>
                </c:pt>
                <c:pt idx="4">
                  <c:v>213570.22841279037</c:v>
                </c:pt>
                <c:pt idx="5">
                  <c:v>246997.36354015436</c:v>
                </c:pt>
                <c:pt idx="6">
                  <c:v>276726.23015266506</c:v>
                </c:pt>
                <c:pt idx="7">
                  <c:v>294839.04269330332</c:v>
                </c:pt>
                <c:pt idx="8">
                  <c:v>316113.97125522856</c:v>
                </c:pt>
                <c:pt idx="9">
                  <c:v>395429.89413182059</c:v>
                </c:pt>
                <c:pt idx="10">
                  <c:v>431433.37825869262</c:v>
                </c:pt>
                <c:pt idx="11">
                  <c:v>460755.2665463867</c:v>
                </c:pt>
                <c:pt idx="12">
                  <c:v>525183.78793804673</c:v>
                </c:pt>
                <c:pt idx="13">
                  <c:v>715097.23536556808</c:v>
                </c:pt>
                <c:pt idx="14">
                  <c:v>560393.40099600004</c:v>
                </c:pt>
                <c:pt idx="15">
                  <c:v>607430.91189238196</c:v>
                </c:pt>
                <c:pt idx="16">
                  <c:v>729915.81282072817</c:v>
                </c:pt>
                <c:pt idx="17">
                  <c:v>824591.93851566559</c:v>
                </c:pt>
                <c:pt idx="18">
                  <c:v>918560.29170848709</c:v>
                </c:pt>
                <c:pt idx="19">
                  <c:v>1051131.6818032633</c:v>
                </c:pt>
                <c:pt idx="20">
                  <c:v>1117237.4200000002</c:v>
                </c:pt>
                <c:pt idx="21">
                  <c:v>1341511.2429660808</c:v>
                </c:pt>
                <c:pt idx="22">
                  <c:v>1344378.6245076021</c:v>
                </c:pt>
                <c:pt idx="23">
                  <c:v>1470476.3338757108</c:v>
                </c:pt>
                <c:pt idx="24">
                  <c:v>1542359.726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560-440F-9230-8F9E786F5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505408"/>
        <c:axId val="350152576"/>
      </c:areaChart>
      <c:catAx>
        <c:axId val="3495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5015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152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Miles de US $</a:t>
                </a:r>
              </a:p>
            </c:rich>
          </c:tx>
          <c:layout>
            <c:manualLayout>
              <c:xMode val="edge"/>
              <c:yMode val="edge"/>
              <c:x val="1.044852480120746E-2"/>
              <c:y val="0.38770061986932486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49505408"/>
        <c:crosses val="autoZero"/>
        <c:crossBetween val="midCat"/>
        <c:majorUnit val="500000"/>
        <c:minorUnit val="2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DEl PRECIO MEDIO DE ENERGÍA ELÉCTRICA AL MERCADO LIBRE Y REGULADO</a:t>
            </a:r>
          </a:p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1995 - 2019</a:t>
            </a:r>
          </a:p>
        </c:rich>
      </c:tx>
      <c:layout>
        <c:manualLayout>
          <c:xMode val="edge"/>
          <c:yMode val="edge"/>
          <c:x val="0.1354431179973471"/>
          <c:y val="1.2360623596749202E-2"/>
        </c:manualLayout>
      </c:layout>
      <c:overlay val="0"/>
      <c:spPr>
        <a:solidFill>
          <a:srgbClr val="3798AF"/>
        </a:solidFill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7.5526768831315441E-2"/>
          <c:y val="0.19954779748916929"/>
          <c:w val="0.89567871757965722"/>
          <c:h val="0.61149635462233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 Precio medio'!$O$5</c:f>
              <c:strCache>
                <c:ptCount val="1"/>
                <c:pt idx="0">
                  <c:v>Regulado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scene3d>
              <a:camera prst="orthographicFront"/>
              <a:lightRig rig="soft" dir="t"/>
            </a:scene3d>
            <a:sp3d prstMaterial="plastic">
              <a:bevelT w="25400"/>
            </a:sp3d>
          </c:spPr>
          <c:invertIfNegative val="0"/>
          <c:cat>
            <c:strRef>
              <c:f>'10.8 Precio medio'!$N$7:$N$31</c:f>
              <c:strCache>
                <c:ptCount val="25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</c:strCache>
            </c:strRef>
          </c:cat>
          <c:val>
            <c:numRef>
              <c:f>'10.8 Precio medio'!$O$7:$O$31</c:f>
              <c:numCache>
                <c:formatCode>#\ ##0.00</c:formatCode>
                <c:ptCount val="25"/>
                <c:pt idx="0">
                  <c:v>10.148610371781364</c:v>
                </c:pt>
                <c:pt idx="1">
                  <c:v>10.37984664865154</c:v>
                </c:pt>
                <c:pt idx="2">
                  <c:v>10.146978053246057</c:v>
                </c:pt>
                <c:pt idx="3">
                  <c:v>8.753240333635766</c:v>
                </c:pt>
                <c:pt idx="4">
                  <c:v>8.3066426364644457</c:v>
                </c:pt>
                <c:pt idx="5">
                  <c:v>8.8063395358146757</c:v>
                </c:pt>
                <c:pt idx="6">
                  <c:v>8.7949736111824013</c:v>
                </c:pt>
                <c:pt idx="7">
                  <c:v>8.2905260118522683</c:v>
                </c:pt>
                <c:pt idx="8">
                  <c:v>8.4395468219330851</c:v>
                </c:pt>
                <c:pt idx="9">
                  <c:v>8.6742016054190874</c:v>
                </c:pt>
                <c:pt idx="10">
                  <c:v>9.4007778088619069</c:v>
                </c:pt>
                <c:pt idx="11">
                  <c:v>9.2054198190234704</c:v>
                </c:pt>
                <c:pt idx="12">
                  <c:v>9.0939060573690185</c:v>
                </c:pt>
                <c:pt idx="13">
                  <c:v>9.5638093579048657</c:v>
                </c:pt>
                <c:pt idx="14">
                  <c:v>10.220209425572106</c:v>
                </c:pt>
                <c:pt idx="15">
                  <c:v>10.459527312900395</c:v>
                </c:pt>
                <c:pt idx="16">
                  <c:v>11.091278800848533</c:v>
                </c:pt>
                <c:pt idx="17">
                  <c:v>12.201537385477197</c:v>
                </c:pt>
                <c:pt idx="18">
                  <c:v>12.233886288512146</c:v>
                </c:pt>
                <c:pt idx="19">
                  <c:v>13.430247970776314</c:v>
                </c:pt>
                <c:pt idx="20">
                  <c:v>13.400122753255285</c:v>
                </c:pt>
                <c:pt idx="21">
                  <c:v>14.126765809264075</c:v>
                </c:pt>
                <c:pt idx="22">
                  <c:v>14.975888443120429</c:v>
                </c:pt>
                <c:pt idx="23">
                  <c:v>15.917877337999185</c:v>
                </c:pt>
                <c:pt idx="24">
                  <c:v>16.466857230678755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C3-4740-93E8-AC08A9A4871E}"/>
            </c:ext>
          </c:extLst>
        </c:ser>
        <c:ser>
          <c:idx val="1"/>
          <c:order val="1"/>
          <c:tx>
            <c:strRef>
              <c:f>'10.8 Precio medio'!$P$5</c:f>
              <c:strCache>
                <c:ptCount val="1"/>
                <c:pt idx="0">
                  <c:v>Libre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scene3d>
              <a:camera prst="orthographicFront"/>
              <a:lightRig rig="soft" dir="t"/>
            </a:scene3d>
            <a:sp3d prstMaterial="plastic">
              <a:bevelT w="38100" h="57150"/>
            </a:sp3d>
          </c:spPr>
          <c:invertIfNegative val="0"/>
          <c:cat>
            <c:strRef>
              <c:f>'10.8 Precio medio'!$N$7:$N$31</c:f>
              <c:strCache>
                <c:ptCount val="25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</c:strCache>
            </c:strRef>
          </c:cat>
          <c:val>
            <c:numRef>
              <c:f>'10.8 Precio medio'!$P$7:$P$31</c:f>
              <c:numCache>
                <c:formatCode>#\ ##0.00</c:formatCode>
                <c:ptCount val="25"/>
                <c:pt idx="0">
                  <c:v>5.0917768788358657</c:v>
                </c:pt>
                <c:pt idx="1">
                  <c:v>5.3374765504742943</c:v>
                </c:pt>
                <c:pt idx="2">
                  <c:v>5.4201200311090698</c:v>
                </c:pt>
                <c:pt idx="3">
                  <c:v>4.9459578496514798</c:v>
                </c:pt>
                <c:pt idx="4">
                  <c:v>4.9301915818936246</c:v>
                </c:pt>
                <c:pt idx="5">
                  <c:v>5.2213140505014408</c:v>
                </c:pt>
                <c:pt idx="6">
                  <c:v>4.7425532789429576</c:v>
                </c:pt>
                <c:pt idx="7">
                  <c:v>4.6821377072021297</c:v>
                </c:pt>
                <c:pt idx="8">
                  <c:v>4.6334748884993324</c:v>
                </c:pt>
                <c:pt idx="9">
                  <c:v>5.2142013164260836</c:v>
                </c:pt>
                <c:pt idx="10">
                  <c:v>5.5617579225654694</c:v>
                </c:pt>
                <c:pt idx="11">
                  <c:v>5.5547819540921299</c:v>
                </c:pt>
                <c:pt idx="12">
                  <c:v>5.4233986202754707</c:v>
                </c:pt>
                <c:pt idx="13">
                  <c:v>6.63741891099464</c:v>
                </c:pt>
                <c:pt idx="14">
                  <c:v>5.7155802776107931</c:v>
                </c:pt>
                <c:pt idx="15">
                  <c:v>5.6126682737488451</c:v>
                </c:pt>
                <c:pt idx="16">
                  <c:v>6.2890521736374838</c:v>
                </c:pt>
                <c:pt idx="17">
                  <c:v>6.7101196509343097</c:v>
                </c:pt>
                <c:pt idx="18">
                  <c:v>7.018250600117379</c:v>
                </c:pt>
                <c:pt idx="19">
                  <c:v>7.4662387275736641</c:v>
                </c:pt>
                <c:pt idx="20">
                  <c:v>7.0634440169455273</c:v>
                </c:pt>
                <c:pt idx="21">
                  <c:v>6.6744810766796219</c:v>
                </c:pt>
                <c:pt idx="22">
                  <c:v>6.3193218652866952</c:v>
                </c:pt>
                <c:pt idx="23">
                  <c:v>6.3039862385552512</c:v>
                </c:pt>
                <c:pt idx="24">
                  <c:v>6.2981424214598221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C3-4740-93E8-AC08A9A4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167104"/>
        <c:axId val="359169408"/>
      </c:barChart>
      <c:catAx>
        <c:axId val="35916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591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9169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Cent. US $/kWh</a:t>
                </a:r>
              </a:p>
            </c:rich>
          </c:tx>
          <c:layout>
            <c:manualLayout>
              <c:xMode val="edge"/>
              <c:yMode val="edge"/>
              <c:x val="1.1084243501820336E-2"/>
              <c:y val="0.294176706827309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59167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715965343041797"/>
          <c:y val="0.91077631962671335"/>
          <c:w val="0.20421635042655245"/>
          <c:h val="7.8313253012048167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DEL PRECIO MEDIO DE ENERGÍA POR TIPO DE EMPRESA
1995 - 2019</a:t>
            </a:r>
          </a:p>
        </c:rich>
      </c:tx>
      <c:layout>
        <c:manualLayout>
          <c:xMode val="edge"/>
          <c:yMode val="edge"/>
          <c:x val="0.20834971586279588"/>
          <c:y val="3.34849120191337E-2"/>
        </c:manualLayout>
      </c:layout>
      <c:overlay val="0"/>
      <c:spPr>
        <a:solidFill>
          <a:srgbClr val="3798AF"/>
        </a:solidFill>
      </c:spPr>
    </c:title>
    <c:autoTitleDeleted val="0"/>
    <c:plotArea>
      <c:layout>
        <c:manualLayout>
          <c:layoutTarget val="inner"/>
          <c:xMode val="edge"/>
          <c:yMode val="edge"/>
          <c:x val="8.0342707970565169E-2"/>
          <c:y val="0.21400394477317555"/>
          <c:w val="0.90177656595514555"/>
          <c:h val="0.591715976331360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 Precio medio'!$O$38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scene3d>
              <a:camera prst="orthographicFront"/>
              <a:lightRig rig="soft" dir="t"/>
            </a:scene3d>
            <a:sp3d prstMaterial="plastic">
              <a:bevelT w="38100"/>
            </a:sp3d>
          </c:spPr>
          <c:invertIfNegative val="0"/>
          <c:cat>
            <c:strRef>
              <c:f>'10.8 Precio medio'!$N$41:$N$65</c:f>
              <c:strCache>
                <c:ptCount val="25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</c:strCache>
            </c:strRef>
          </c:cat>
          <c:val>
            <c:numRef>
              <c:f>'10.8 Precio medio'!$O$41:$O$65</c:f>
              <c:numCache>
                <c:formatCode>#\ ##0.00</c:formatCode>
                <c:ptCount val="25"/>
                <c:pt idx="0">
                  <c:v>8.9555606852646115</c:v>
                </c:pt>
                <c:pt idx="1">
                  <c:v>9.3774573213785253</c:v>
                </c:pt>
                <c:pt idx="2">
                  <c:v>9.1635885122824927</c:v>
                </c:pt>
                <c:pt idx="3">
                  <c:v>7.9571609356886182</c:v>
                </c:pt>
                <c:pt idx="4">
                  <c:v>7.6320210282889089</c:v>
                </c:pt>
                <c:pt idx="5">
                  <c:v>8.0465527241033001</c:v>
                </c:pt>
                <c:pt idx="6">
                  <c:v>8.1980760639170676</c:v>
                </c:pt>
                <c:pt idx="7">
                  <c:v>7.758352080828165</c:v>
                </c:pt>
                <c:pt idx="8">
                  <c:v>7.971753161907678</c:v>
                </c:pt>
                <c:pt idx="9">
                  <c:v>8.2230231770089492</c:v>
                </c:pt>
                <c:pt idx="10">
                  <c:v>8.8884914595819442</c:v>
                </c:pt>
                <c:pt idx="11">
                  <c:v>8.7025840778489254</c:v>
                </c:pt>
                <c:pt idx="12">
                  <c:v>8.6843545064319656</c:v>
                </c:pt>
                <c:pt idx="13">
                  <c:v>9.2102011270063144</c:v>
                </c:pt>
                <c:pt idx="14">
                  <c:v>9.8347670342884221</c:v>
                </c:pt>
                <c:pt idx="15">
                  <c:v>10.118555763056673</c:v>
                </c:pt>
                <c:pt idx="16">
                  <c:v>10.785887035062256</c:v>
                </c:pt>
                <c:pt idx="17">
                  <c:v>11.813141103914758</c:v>
                </c:pt>
                <c:pt idx="18">
                  <c:v>11.933029674417638</c:v>
                </c:pt>
                <c:pt idx="19">
                  <c:v>13.055122860006383</c:v>
                </c:pt>
                <c:pt idx="20">
                  <c:v>12.999798046403393</c:v>
                </c:pt>
                <c:pt idx="21">
                  <c:v>13.579918199627539</c:v>
                </c:pt>
                <c:pt idx="22">
                  <c:v>13.997247654672359</c:v>
                </c:pt>
                <c:pt idx="23">
                  <c:v>14.778011489255359</c:v>
                </c:pt>
                <c:pt idx="24">
                  <c:v>15.165939480098434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AD-498F-9803-0BF9AD7EB293}"/>
            </c:ext>
          </c:extLst>
        </c:ser>
        <c:ser>
          <c:idx val="1"/>
          <c:order val="1"/>
          <c:tx>
            <c:strRef>
              <c:f>'10.8 Precio medio'!$P$38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scene3d>
              <a:camera prst="orthographicFront"/>
              <a:lightRig rig="soft" dir="t"/>
            </a:scene3d>
            <a:sp3d prstMaterial="plastic">
              <a:bevelT w="50800"/>
            </a:sp3d>
          </c:spPr>
          <c:invertIfNegative val="0"/>
          <c:cat>
            <c:strRef>
              <c:f>'10.8 Precio medio'!$N$41:$N$65</c:f>
              <c:strCache>
                <c:ptCount val="25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</c:strCache>
            </c:strRef>
          </c:cat>
          <c:val>
            <c:numRef>
              <c:f>'10.8 Precio medio'!$P$41:$P$65</c:f>
              <c:numCache>
                <c:formatCode>#\ ##0.00</c:formatCode>
                <c:ptCount val="25"/>
                <c:pt idx="0">
                  <c:v>4.2445573090579085</c:v>
                </c:pt>
                <c:pt idx="1">
                  <c:v>4.5448535324028105</c:v>
                </c:pt>
                <c:pt idx="2">
                  <c:v>5.2121175208150961</c:v>
                </c:pt>
                <c:pt idx="3">
                  <c:v>4.8931747664703975</c:v>
                </c:pt>
                <c:pt idx="4">
                  <c:v>4.8616026075361827</c:v>
                </c:pt>
                <c:pt idx="5">
                  <c:v>5.1647954842633439</c:v>
                </c:pt>
                <c:pt idx="6">
                  <c:v>4.5317559390314024</c:v>
                </c:pt>
                <c:pt idx="7">
                  <c:v>4.5417296862557039</c:v>
                </c:pt>
                <c:pt idx="8">
                  <c:v>4.4701131993241967</c:v>
                </c:pt>
                <c:pt idx="9">
                  <c:v>5.1762271900611463</c:v>
                </c:pt>
                <c:pt idx="10">
                  <c:v>5.5416076080909722</c:v>
                </c:pt>
                <c:pt idx="11">
                  <c:v>5.581447756240201</c:v>
                </c:pt>
                <c:pt idx="12">
                  <c:v>5.4200951405339648</c:v>
                </c:pt>
                <c:pt idx="13">
                  <c:v>6.703677483775019</c:v>
                </c:pt>
                <c:pt idx="14">
                  <c:v>5.6537603270098931</c:v>
                </c:pt>
                <c:pt idx="15">
                  <c:v>5.4037809461686521</c:v>
                </c:pt>
                <c:pt idx="16">
                  <c:v>6.0487035318323148</c:v>
                </c:pt>
                <c:pt idx="17">
                  <c:v>6.4923946475231222</c:v>
                </c:pt>
                <c:pt idx="18">
                  <c:v>6.7174837111051282</c:v>
                </c:pt>
                <c:pt idx="19">
                  <c:v>7.2263562019802521</c:v>
                </c:pt>
                <c:pt idx="20">
                  <c:v>6.8623284465367806</c:v>
                </c:pt>
                <c:pt idx="21">
                  <c:v>6.550134616721996</c:v>
                </c:pt>
                <c:pt idx="22">
                  <c:v>6.1601746495097007</c:v>
                </c:pt>
                <c:pt idx="23">
                  <c:v>6.1800525650171405</c:v>
                </c:pt>
                <c:pt idx="24">
                  <c:v>6.1532648627104196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AD-498F-9803-0BF9AD7E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855936"/>
        <c:axId val="372857472"/>
      </c:barChart>
      <c:catAx>
        <c:axId val="37285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7285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857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Cent. US $/kWh</a:t>
                </a:r>
              </a:p>
            </c:rich>
          </c:tx>
          <c:layout>
            <c:manualLayout>
              <c:xMode val="edge"/>
              <c:yMode val="edge"/>
              <c:x val="1.2536475011820933E-2"/>
              <c:y val="0.331360946745562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72855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897923762765901"/>
          <c:y val="0.90236686390532539"/>
          <c:w val="0.34874532361129895"/>
          <c:h val="8.2840236686390512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LAS VENTAS POR SECTOR ECONÓMICO</a:t>
            </a:r>
          </a:p>
        </c:rich>
      </c:tx>
      <c:overlay val="0"/>
      <c:spPr>
        <a:solidFill>
          <a:srgbClr val="3798AF"/>
        </a:solidFill>
        <a:ln w="3175">
          <a:solidFill>
            <a:srgbClr val="000000"/>
          </a:solidFill>
          <a:prstDash val="solid"/>
        </a:ln>
        <a:scene3d>
          <a:camera prst="orthographicFront"/>
          <a:lightRig rig="soft" dir="t"/>
        </a:scene3d>
        <a:sp3d prstMaterial="plastic">
          <a:bevelT w="50800" h="57150"/>
        </a:sp3d>
      </c:spPr>
    </c:title>
    <c:autoTitleDeleted val="0"/>
    <c:plotArea>
      <c:layout>
        <c:manualLayout>
          <c:layoutTarget val="inner"/>
          <c:xMode val="edge"/>
          <c:yMode val="edge"/>
          <c:x val="8.58799720741978E-2"/>
          <c:y val="0.10027309236947791"/>
          <c:w val="0.897659122576008"/>
          <c:h val="0.71727059418777472"/>
        </c:manualLayout>
      </c:layout>
      <c:lineChart>
        <c:grouping val="standard"/>
        <c:varyColors val="0"/>
        <c:ser>
          <c:idx val="0"/>
          <c:order val="0"/>
          <c:tx>
            <c:v>Industrial</c:v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soft" dir="t"/>
              </a:scene3d>
              <a:sp3d prstMaterial="plastic">
                <a:bevelT w="44450"/>
              </a:sp3d>
            </c:spPr>
          </c:marker>
          <c:cat>
            <c:numRef>
              <c:f>'10.9 Ventas-CIIU'!$B$7:$B$31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'10.9 Ventas-CIIU'!$C$7:$C$31</c:f>
              <c:numCache>
                <c:formatCode>#,##0.00</c:formatCode>
                <c:ptCount val="25"/>
                <c:pt idx="0">
                  <c:v>3963.76629</c:v>
                </c:pt>
                <c:pt idx="1">
                  <c:v>4305.2964009999996</c:v>
                </c:pt>
                <c:pt idx="2">
                  <c:v>6058.1311180000002</c:v>
                </c:pt>
                <c:pt idx="3">
                  <c:v>7473.8484369999996</c:v>
                </c:pt>
                <c:pt idx="4">
                  <c:v>7855.6</c:v>
                </c:pt>
                <c:pt idx="5">
                  <c:v>8375.0166531150007</c:v>
                </c:pt>
                <c:pt idx="6">
                  <c:v>9280.5600399650011</c:v>
                </c:pt>
                <c:pt idx="7">
                  <c:v>9567.6060768480002</c:v>
                </c:pt>
                <c:pt idx="8">
                  <c:v>10038.680803439998</c:v>
                </c:pt>
                <c:pt idx="9">
                  <c:v>11074.758817645607</c:v>
                </c:pt>
                <c:pt idx="10">
                  <c:v>11588.277687039452</c:v>
                </c:pt>
                <c:pt idx="11">
                  <c:v>12481.42189750605</c:v>
                </c:pt>
                <c:pt idx="12">
                  <c:v>14165.658529274375</c:v>
                </c:pt>
                <c:pt idx="13">
                  <c:v>15437.253867346535</c:v>
                </c:pt>
                <c:pt idx="14">
                  <c:v>14942.95020594519</c:v>
                </c:pt>
                <c:pt idx="15">
                  <c:v>16434.708415297537</c:v>
                </c:pt>
                <c:pt idx="16">
                  <c:v>17841.423398594416</c:v>
                </c:pt>
                <c:pt idx="17">
                  <c:v>18690.461999999996</c:v>
                </c:pt>
                <c:pt idx="18">
                  <c:v>19214.618997431797</c:v>
                </c:pt>
                <c:pt idx="19">
                  <c:v>20739.148158269898</c:v>
                </c:pt>
                <c:pt idx="20">
                  <c:v>22440.162</c:v>
                </c:pt>
                <c:pt idx="21">
                  <c:v>25483.049576663041</c:v>
                </c:pt>
                <c:pt idx="22">
                  <c:v>26022.125011752887</c:v>
                </c:pt>
                <c:pt idx="23">
                  <c:v>27133.007183966703</c:v>
                </c:pt>
                <c:pt idx="24">
                  <c:v>28004.48880091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20-4CB8-BEBB-A1BBA90EB353}"/>
            </c:ext>
          </c:extLst>
        </c:ser>
        <c:ser>
          <c:idx val="1"/>
          <c:order val="1"/>
          <c:tx>
            <c:v>Comercial</c:v>
          </c:tx>
          <c:spPr>
            <a:ln w="3175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  <a:scene3d>
                <a:camera prst="orthographicFront"/>
                <a:lightRig rig="soft" dir="t"/>
              </a:scene3d>
              <a:sp3d prstMaterial="plastic">
                <a:bevelT w="25400"/>
              </a:sp3d>
            </c:spPr>
          </c:marker>
          <c:cat>
            <c:numRef>
              <c:f>'10.9 Ventas-CIIU'!$B$7:$B$31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'10.9 Ventas-CIIU'!$E$7:$E$31</c:f>
              <c:numCache>
                <c:formatCode>#,##0.00</c:formatCode>
                <c:ptCount val="25"/>
                <c:pt idx="0">
                  <c:v>2248.6685050000001</c:v>
                </c:pt>
                <c:pt idx="1">
                  <c:v>2350.988429</c:v>
                </c:pt>
                <c:pt idx="2">
                  <c:v>2480.103368</c:v>
                </c:pt>
                <c:pt idx="3">
                  <c:v>2360.432139</c:v>
                </c:pt>
                <c:pt idx="4">
                  <c:v>2420.3000000000002</c:v>
                </c:pt>
                <c:pt idx="5">
                  <c:v>2693.3458028849996</c:v>
                </c:pt>
                <c:pt idx="6">
                  <c:v>2762.2040670349998</c:v>
                </c:pt>
                <c:pt idx="7">
                  <c:v>3013.1152699999998</c:v>
                </c:pt>
                <c:pt idx="8">
                  <c:v>3341.0911065599998</c:v>
                </c:pt>
                <c:pt idx="9">
                  <c:v>3243.4254471762724</c:v>
                </c:pt>
                <c:pt idx="10">
                  <c:v>3460.3428933112218</c:v>
                </c:pt>
                <c:pt idx="11">
                  <c:v>3760.3484728262438</c:v>
                </c:pt>
                <c:pt idx="12">
                  <c:v>4023.5192699368326</c:v>
                </c:pt>
                <c:pt idx="13">
                  <c:v>4494.8960123117677</c:v>
                </c:pt>
                <c:pt idx="14">
                  <c:v>4815.0810091037401</c:v>
                </c:pt>
                <c:pt idx="15">
                  <c:v>5205.8243711895484</c:v>
                </c:pt>
                <c:pt idx="16">
                  <c:v>5563.1179861174478</c:v>
                </c:pt>
                <c:pt idx="17">
                  <c:v>6061.7719999999999</c:v>
                </c:pt>
                <c:pt idx="18">
                  <c:v>6760.1032092000005</c:v>
                </c:pt>
                <c:pt idx="19">
                  <c:v>6802.8150635601469</c:v>
                </c:pt>
                <c:pt idx="20">
                  <c:v>7201.7056000000002</c:v>
                </c:pt>
                <c:pt idx="21">
                  <c:v>7558.3953055872307</c:v>
                </c:pt>
                <c:pt idx="22">
                  <c:v>7624.0574832144757</c:v>
                </c:pt>
                <c:pt idx="23">
                  <c:v>7797.5141442171644</c:v>
                </c:pt>
                <c:pt idx="24">
                  <c:v>8122.9008766600236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20-4CB8-BEBB-A1BBA90EB353}"/>
            </c:ext>
          </c:extLst>
        </c:ser>
        <c:ser>
          <c:idx val="2"/>
          <c:order val="2"/>
          <c:tx>
            <c:v>Residencial</c:v>
          </c:tx>
          <c:spPr>
            <a:ln w="31750">
              <a:solidFill>
                <a:srgbClr val="00B050"/>
              </a:solidFill>
              <a:prstDash val="solid"/>
            </a:ln>
          </c:spPr>
          <c:marker>
            <c:symbol val="plus"/>
            <c:size val="6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  <a:scene3d>
                <a:camera prst="orthographicFront"/>
                <a:lightRig rig="soft" dir="t"/>
              </a:scene3d>
              <a:sp3d prstMaterial="plastic">
                <a:bevelT w="38100"/>
              </a:sp3d>
            </c:spPr>
          </c:marker>
          <c:cat>
            <c:numRef>
              <c:f>'10.9 Ventas-CIIU'!$B$7:$B$31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'10.9 Ventas-CIIU'!$G$7:$G$31</c:f>
              <c:numCache>
                <c:formatCode>#,##0.00</c:formatCode>
                <c:ptCount val="25"/>
                <c:pt idx="0">
                  <c:v>3154.1445019999996</c:v>
                </c:pt>
                <c:pt idx="1">
                  <c:v>3185.061631</c:v>
                </c:pt>
                <c:pt idx="2">
                  <c:v>3385.5230000000001</c:v>
                </c:pt>
                <c:pt idx="3">
                  <c:v>3639.3</c:v>
                </c:pt>
                <c:pt idx="4">
                  <c:v>3772.7</c:v>
                </c:pt>
                <c:pt idx="5">
                  <c:v>3936.241469000001</c:v>
                </c:pt>
                <c:pt idx="6">
                  <c:v>4043.9688309999992</c:v>
                </c:pt>
                <c:pt idx="7">
                  <c:v>4464.8754000000008</c:v>
                </c:pt>
                <c:pt idx="8">
                  <c:v>4425.3378269999994</c:v>
                </c:pt>
                <c:pt idx="9">
                  <c:v>4720.0091641781228</c:v>
                </c:pt>
                <c:pt idx="10">
                  <c:v>5020.7356088993247</c:v>
                </c:pt>
                <c:pt idx="11">
                  <c:v>5404.368964667703</c:v>
                </c:pt>
                <c:pt idx="12">
                  <c:v>5877.1253377887997</c:v>
                </c:pt>
                <c:pt idx="13">
                  <c:v>6357.3192643417178</c:v>
                </c:pt>
                <c:pt idx="14">
                  <c:v>6644.5992379510635</c:v>
                </c:pt>
                <c:pt idx="15">
                  <c:v>7086.2453335129212</c:v>
                </c:pt>
                <c:pt idx="16">
                  <c:v>7663.0902881815</c:v>
                </c:pt>
                <c:pt idx="17">
                  <c:v>8110.4380000000001</c:v>
                </c:pt>
                <c:pt idx="18">
                  <c:v>8757.8845147454758</c:v>
                </c:pt>
                <c:pt idx="19">
                  <c:v>8920.5096610756154</c:v>
                </c:pt>
                <c:pt idx="20">
                  <c:v>9177.1515000000018</c:v>
                </c:pt>
                <c:pt idx="21">
                  <c:v>9360.7744521665827</c:v>
                </c:pt>
                <c:pt idx="22">
                  <c:v>9614.2816077234274</c:v>
                </c:pt>
                <c:pt idx="23">
                  <c:v>9904.6664415354062</c:v>
                </c:pt>
                <c:pt idx="24">
                  <c:v>10186.869619900006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720-4CB8-BEBB-A1BBA90EB353}"/>
            </c:ext>
          </c:extLst>
        </c:ser>
        <c:ser>
          <c:idx val="3"/>
          <c:order val="3"/>
          <c:tx>
            <c:v>Alumbrado Público</c:v>
          </c:tx>
          <c:spPr>
            <a:ln w="31750">
              <a:solidFill>
                <a:srgbClr val="0080C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  <a:scene3d>
                <a:camera prst="orthographicFront"/>
                <a:lightRig rig="soft" dir="t"/>
              </a:scene3d>
              <a:sp3d prstMaterial="plastic"/>
            </c:spPr>
          </c:marker>
          <c:cat>
            <c:numRef>
              <c:f>'10.9 Ventas-CIIU'!$B$7:$B$31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'10.9 Ventas-CIIU'!$I$7:$I$31</c:f>
              <c:numCache>
                <c:formatCode>#,##0.00</c:formatCode>
                <c:ptCount val="25"/>
                <c:pt idx="0">
                  <c:v>482.67683</c:v>
                </c:pt>
                <c:pt idx="1">
                  <c:v>489.44556999999998</c:v>
                </c:pt>
                <c:pt idx="2">
                  <c:v>527.47299999999996</c:v>
                </c:pt>
                <c:pt idx="3">
                  <c:v>535.06510000000003</c:v>
                </c:pt>
                <c:pt idx="4">
                  <c:v>543.29999999999995</c:v>
                </c:pt>
                <c:pt idx="5">
                  <c:v>540.99195400000008</c:v>
                </c:pt>
                <c:pt idx="6">
                  <c:v>542.02161799999999</c:v>
                </c:pt>
                <c:pt idx="7">
                  <c:v>559.72912000000008</c:v>
                </c:pt>
                <c:pt idx="8">
                  <c:v>570.22551099999998</c:v>
                </c:pt>
                <c:pt idx="9">
                  <c:v>602.45768099999987</c:v>
                </c:pt>
                <c:pt idx="10">
                  <c:v>632.02669097222224</c:v>
                </c:pt>
                <c:pt idx="11">
                  <c:v>643.9218179999998</c:v>
                </c:pt>
                <c:pt idx="12">
                  <c:v>655.44541600000002</c:v>
                </c:pt>
                <c:pt idx="13">
                  <c:v>674.94545200000016</c:v>
                </c:pt>
                <c:pt idx="14">
                  <c:v>684.37532399999998</c:v>
                </c:pt>
                <c:pt idx="15">
                  <c:v>709.39700400000015</c:v>
                </c:pt>
                <c:pt idx="16">
                  <c:v>752.71913235773729</c:v>
                </c:pt>
                <c:pt idx="17">
                  <c:v>785.51400000000012</c:v>
                </c:pt>
                <c:pt idx="18">
                  <c:v>877.0459806227276</c:v>
                </c:pt>
                <c:pt idx="19">
                  <c:v>865.30411129276445</c:v>
                </c:pt>
                <c:pt idx="20">
                  <c:v>955.7254999999999</c:v>
                </c:pt>
                <c:pt idx="21">
                  <c:v>964.77977628310441</c:v>
                </c:pt>
                <c:pt idx="22">
                  <c:v>962.7887145791899</c:v>
                </c:pt>
                <c:pt idx="23">
                  <c:v>1032.6000724708028</c:v>
                </c:pt>
                <c:pt idx="24">
                  <c:v>1106.4786215099998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720-4CB8-BEBB-A1BBA90EB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10272"/>
        <c:axId val="395125888"/>
      </c:lineChart>
      <c:catAx>
        <c:axId val="3951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PE"/>
          </a:p>
        </c:txPr>
        <c:crossAx val="39512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1258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900" b="1"/>
                  <a:t>GW.h</a:t>
                </a:r>
              </a:p>
            </c:rich>
          </c:tx>
          <c:layout>
            <c:manualLayout>
              <c:xMode val="edge"/>
              <c:yMode val="edge"/>
              <c:x val="2.9929425488480605E-3"/>
              <c:y val="0.4041132087404737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95110272"/>
        <c:crosses val="autoZero"/>
        <c:crossBetween val="between"/>
        <c:majorUnit val="2000"/>
        <c:minorUnit val="4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EVOLUCIÓN DE FACTURACIÓN DE ENERGÍA ELÉCTRICA POR SECTOR ECONÓMICO </a:t>
            </a:r>
          </a:p>
        </c:rich>
      </c:tx>
      <c:overlay val="0"/>
      <c:spPr>
        <a:solidFill>
          <a:srgbClr val="3798AF"/>
        </a:solidFill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075611662345334"/>
          <c:y val="0.12399231712611403"/>
          <c:w val="0.87771517425180856"/>
          <c:h val="0.70768162007272029"/>
        </c:manualLayout>
      </c:layout>
      <c:areaChart>
        <c:grouping val="stacked"/>
        <c:varyColors val="0"/>
        <c:ser>
          <c:idx val="0"/>
          <c:order val="0"/>
          <c:tx>
            <c:strRef>
              <c:f>'10.10 Fact-CIIU'!$K$9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cat>
            <c:numRef>
              <c:f>'10.10 Fact-CIIU'!$J$10:$J$35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'10.10 Fact-CIIU'!$K$10:$K$35</c:f>
              <c:numCache>
                <c:formatCode>#\ ##0.0</c:formatCode>
                <c:ptCount val="26"/>
                <c:pt idx="0">
                  <c:v>229035.54403785348</c:v>
                </c:pt>
                <c:pt idx="1">
                  <c:v>258447.72612741796</c:v>
                </c:pt>
                <c:pt idx="2">
                  <c:v>355516.10470524785</c:v>
                </c:pt>
                <c:pt idx="3">
                  <c:v>405108.58810399019</c:v>
                </c:pt>
                <c:pt idx="4">
                  <c:v>419536.44763941609</c:v>
                </c:pt>
                <c:pt idx="5">
                  <c:v>470947.31940472691</c:v>
                </c:pt>
                <c:pt idx="6">
                  <c:v>479868.23409751739</c:v>
                </c:pt>
                <c:pt idx="7">
                  <c:v>488098.27845652425</c:v>
                </c:pt>
                <c:pt idx="8">
                  <c:v>506532.8631156623</c:v>
                </c:pt>
                <c:pt idx="9">
                  <c:v>596267.04432617116</c:v>
                </c:pt>
                <c:pt idx="10">
                  <c:v>669716.05900215998</c:v>
                </c:pt>
                <c:pt idx="11">
                  <c:v>715993.84226713481</c:v>
                </c:pt>
                <c:pt idx="12">
                  <c:v>794759.59169783501</c:v>
                </c:pt>
                <c:pt idx="13">
                  <c:v>1027831.8916520025</c:v>
                </c:pt>
                <c:pt idx="14">
                  <c:v>910151.82885370869</c:v>
                </c:pt>
                <c:pt idx="15">
                  <c:v>971594.08601682109</c:v>
                </c:pt>
                <c:pt idx="16">
                  <c:v>1196612.7704490384</c:v>
                </c:pt>
                <c:pt idx="17">
                  <c:v>1379656.1115939592</c:v>
                </c:pt>
                <c:pt idx="18">
                  <c:v>1441539.8024168243</c:v>
                </c:pt>
                <c:pt idx="19">
                  <c:v>1665612.65626033</c:v>
                </c:pt>
                <c:pt idx="20">
                  <c:v>1728275.9300000002</c:v>
                </c:pt>
                <c:pt idx="21">
                  <c:v>1728275.9300000002</c:v>
                </c:pt>
                <c:pt idx="22">
                  <c:v>1860291.9919229595</c:v>
                </c:pt>
                <c:pt idx="23">
                  <c:v>1797961.2811510575</c:v>
                </c:pt>
                <c:pt idx="24">
                  <c:v>1852333.4751519687</c:v>
                </c:pt>
                <c:pt idx="25">
                  <c:v>1887444.9591489658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6B-4B5B-816F-38CE973526EF}"/>
            </c:ext>
          </c:extLst>
        </c:ser>
        <c:ser>
          <c:idx val="1"/>
          <c:order val="1"/>
          <c:tx>
            <c:strRef>
              <c:f>'10.10 Fact-CIIU'!$L$9</c:f>
              <c:strCache>
                <c:ptCount val="1"/>
                <c:pt idx="0">
                  <c:v>Comercial</c:v>
                </c:pt>
              </c:strCache>
            </c:strRef>
          </c:tx>
          <c:spPr>
            <a:solidFill>
              <a:srgbClr val="0070C0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cat>
            <c:numRef>
              <c:f>'10.10 Fact-CIIU'!$J$10:$J$35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'10.10 Fact-CIIU'!$L$10:$L$35</c:f>
              <c:numCache>
                <c:formatCode>#\ ##0.0</c:formatCode>
                <c:ptCount val="26"/>
                <c:pt idx="0">
                  <c:v>200811.42160772084</c:v>
                </c:pt>
                <c:pt idx="1">
                  <c:v>213222.6714817289</c:v>
                </c:pt>
                <c:pt idx="2">
                  <c:v>221239.00181128312</c:v>
                </c:pt>
                <c:pt idx="3">
                  <c:v>175416.57536486135</c:v>
                </c:pt>
                <c:pt idx="4">
                  <c:v>170042.7141646184</c:v>
                </c:pt>
                <c:pt idx="5">
                  <c:v>197172.92008066195</c:v>
                </c:pt>
                <c:pt idx="6">
                  <c:v>202560.16293720153</c:v>
                </c:pt>
                <c:pt idx="7">
                  <c:v>223817.53067643259</c:v>
                </c:pt>
                <c:pt idx="8">
                  <c:v>238398.63946284784</c:v>
                </c:pt>
                <c:pt idx="9">
                  <c:v>257743.9102776775</c:v>
                </c:pt>
                <c:pt idx="10">
                  <c:v>300420.25850854366</c:v>
                </c:pt>
                <c:pt idx="11">
                  <c:v>317868.59748703917</c:v>
                </c:pt>
                <c:pt idx="12">
                  <c:v>340153.50271927071</c:v>
                </c:pt>
                <c:pt idx="13">
                  <c:v>399555.0703387963</c:v>
                </c:pt>
                <c:pt idx="14">
                  <c:v>454550.76665939082</c:v>
                </c:pt>
                <c:pt idx="15">
                  <c:v>526340.05433409393</c:v>
                </c:pt>
                <c:pt idx="16">
                  <c:v>568041.68320329254</c:v>
                </c:pt>
                <c:pt idx="17">
                  <c:v>665764.93903639342</c:v>
                </c:pt>
                <c:pt idx="18">
                  <c:v>737391.51220428827</c:v>
                </c:pt>
                <c:pt idx="19">
                  <c:v>836842.30774737417</c:v>
                </c:pt>
                <c:pt idx="20">
                  <c:v>883699.57999999973</c:v>
                </c:pt>
                <c:pt idx="21">
                  <c:v>883699.57999999973</c:v>
                </c:pt>
                <c:pt idx="22">
                  <c:v>937495.5716511088</c:v>
                </c:pt>
                <c:pt idx="23">
                  <c:v>942448.2152739797</c:v>
                </c:pt>
                <c:pt idx="24">
                  <c:v>1004206.1397633412</c:v>
                </c:pt>
                <c:pt idx="25">
                  <c:v>1051965.5863518859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6B-4B5B-816F-38CE973526EF}"/>
            </c:ext>
          </c:extLst>
        </c:ser>
        <c:ser>
          <c:idx val="2"/>
          <c:order val="2"/>
          <c:tx>
            <c:strRef>
              <c:f>'10.10 Fact-CIIU'!$M$9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92D050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44450"/>
            </a:sp3d>
          </c:spPr>
          <c:cat>
            <c:numRef>
              <c:f>'10.10 Fact-CIIU'!$J$10:$J$35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'10.10 Fact-CIIU'!$M$10:$M$35</c:f>
              <c:numCache>
                <c:formatCode>#\ ##0.0</c:formatCode>
                <c:ptCount val="26"/>
                <c:pt idx="0">
                  <c:v>355896.20422925544</c:v>
                </c:pt>
                <c:pt idx="1">
                  <c:v>372677.77599551878</c:v>
                </c:pt>
                <c:pt idx="2">
                  <c:v>392117.28436542355</c:v>
                </c:pt>
                <c:pt idx="3">
                  <c:v>362781.21835892892</c:v>
                </c:pt>
                <c:pt idx="4">
                  <c:v>358196.54564842128</c:v>
                </c:pt>
                <c:pt idx="5">
                  <c:v>396689.58182878082</c:v>
                </c:pt>
                <c:pt idx="6">
                  <c:v>406024.2542681364</c:v>
                </c:pt>
                <c:pt idx="7">
                  <c:v>400798.0547307923</c:v>
                </c:pt>
                <c:pt idx="8">
                  <c:v>427974.96816134849</c:v>
                </c:pt>
                <c:pt idx="9">
                  <c:v>470011.6333799953</c:v>
                </c:pt>
                <c:pt idx="10">
                  <c:v>544065.3677454039</c:v>
                </c:pt>
                <c:pt idx="11">
                  <c:v>579597.98697812622</c:v>
                </c:pt>
                <c:pt idx="12">
                  <c:v>628258.89821243391</c:v>
                </c:pt>
                <c:pt idx="13">
                  <c:v>716691.01010196272</c:v>
                </c:pt>
                <c:pt idx="14">
                  <c:v>792475.92957778438</c:v>
                </c:pt>
                <c:pt idx="15">
                  <c:v>864962.42369105283</c:v>
                </c:pt>
                <c:pt idx="16">
                  <c:v>999500.05360099196</c:v>
                </c:pt>
                <c:pt idx="17">
                  <c:v>1143905.3448795595</c:v>
                </c:pt>
                <c:pt idx="18">
                  <c:v>1241000.8431573522</c:v>
                </c:pt>
                <c:pt idx="19">
                  <c:v>1407774.9448299771</c:v>
                </c:pt>
                <c:pt idx="20">
                  <c:v>1428790.09</c:v>
                </c:pt>
                <c:pt idx="21">
                  <c:v>1428790.09</c:v>
                </c:pt>
                <c:pt idx="22">
                  <c:v>1504775.322915006</c:v>
                </c:pt>
                <c:pt idx="23">
                  <c:v>1586189.5239483442</c:v>
                </c:pt>
                <c:pt idx="24">
                  <c:v>1709828.2802331455</c:v>
                </c:pt>
                <c:pt idx="25">
                  <c:v>1802635.3668811198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6B-4B5B-816F-38CE973526EF}"/>
            </c:ext>
          </c:extLst>
        </c:ser>
        <c:ser>
          <c:idx val="3"/>
          <c:order val="3"/>
          <c:tx>
            <c:strRef>
              <c:f>'10.10 Fact-CIIU'!$N$9</c:f>
              <c:strCache>
                <c:ptCount val="1"/>
                <c:pt idx="0">
                  <c:v>Alumbrado Publico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cat>
            <c:numRef>
              <c:f>'10.10 Fact-CIIU'!$J$10:$J$35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'10.10 Fact-CIIU'!$N$10:$N$35</c:f>
              <c:numCache>
                <c:formatCode>#\ ##0.0</c:formatCode>
                <c:ptCount val="26"/>
                <c:pt idx="0">
                  <c:v>40932.831814912512</c:v>
                </c:pt>
                <c:pt idx="1">
                  <c:v>49022.221536151759</c:v>
                </c:pt>
                <c:pt idx="2">
                  <c:v>50665.14573498242</c:v>
                </c:pt>
                <c:pt idx="3">
                  <c:v>44838.588717470884</c:v>
                </c:pt>
                <c:pt idx="4">
                  <c:v>44183.660814274546</c:v>
                </c:pt>
                <c:pt idx="5">
                  <c:v>48259.678954052164</c:v>
                </c:pt>
                <c:pt idx="6">
                  <c:v>50905.862535693137</c:v>
                </c:pt>
                <c:pt idx="7">
                  <c:v>44353.296403984248</c:v>
                </c:pt>
                <c:pt idx="8">
                  <c:v>44303.672929736647</c:v>
                </c:pt>
                <c:pt idx="9">
                  <c:v>58277.423826264436</c:v>
                </c:pt>
                <c:pt idx="10">
                  <c:v>65007.585840271378</c:v>
                </c:pt>
                <c:pt idx="11">
                  <c:v>69708.477573607859</c:v>
                </c:pt>
                <c:pt idx="12">
                  <c:v>67459.670804701891</c:v>
                </c:pt>
                <c:pt idx="13">
                  <c:v>72022.001090604914</c:v>
                </c:pt>
                <c:pt idx="14">
                  <c:v>78879.628738922736</c:v>
                </c:pt>
                <c:pt idx="15">
                  <c:v>85638.464160990639</c:v>
                </c:pt>
                <c:pt idx="16">
                  <c:v>96237.048105473543</c:v>
                </c:pt>
                <c:pt idx="17">
                  <c:v>109799.10381710083</c:v>
                </c:pt>
                <c:pt idx="18">
                  <c:v>116294.17167812247</c:v>
                </c:pt>
                <c:pt idx="19">
                  <c:v>115116.20663604917</c:v>
                </c:pt>
                <c:pt idx="20">
                  <c:v>130645.79</c:v>
                </c:pt>
                <c:pt idx="21">
                  <c:v>130645.79</c:v>
                </c:pt>
                <c:pt idx="22">
                  <c:v>146893.56904509378</c:v>
                </c:pt>
                <c:pt idx="23">
                  <c:v>153099.14598403813</c:v>
                </c:pt>
                <c:pt idx="24">
                  <c:v>166188.19137482424</c:v>
                </c:pt>
                <c:pt idx="25">
                  <c:v>190663.32467361999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6B-4B5B-816F-38CE97352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948864"/>
        <c:axId val="407303680"/>
      </c:areaChart>
      <c:catAx>
        <c:axId val="40294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PE"/>
          </a:p>
        </c:txPr>
        <c:crossAx val="40730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30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b="1"/>
                  <a:t>Miles US$</a:t>
                </a:r>
              </a:p>
            </c:rich>
          </c:tx>
          <c:layout>
            <c:manualLayout>
              <c:xMode val="edge"/>
              <c:yMode val="edge"/>
              <c:x val="3.4742501847463245E-3"/>
              <c:y val="0.4076955862168605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029488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05403771506897"/>
          <c:y val="0.91834814226203376"/>
          <c:w val="0.72556366740565204"/>
          <c:h val="6.0146885309061093E-2"/>
        </c:manualLayout>
      </c:layout>
      <c:overlay val="0"/>
      <c:spPr>
        <a:noFill/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POTENCIA INSTALADA - GENERADORAS PARA USO PROPIO 
1 995 - 2 019</a:t>
            </a:r>
          </a:p>
        </c:rich>
      </c:tx>
      <c:layout>
        <c:manualLayout>
          <c:xMode val="edge"/>
          <c:yMode val="edge"/>
          <c:x val="0.25602861772455954"/>
          <c:y val="3.9393939393939391E-2"/>
        </c:manualLayout>
      </c:layout>
      <c:overlay val="0"/>
      <c:spPr>
        <a:solidFill>
          <a:srgbClr val="3798AF"/>
        </a:solidFill>
        <a:scene3d>
          <a:camera prst="orthographicFront"/>
          <a:lightRig rig="soft" dir="t"/>
        </a:scene3d>
        <a:sp3d prstMaterial="plastic">
          <a:bevelT w="50800" h="63500"/>
        </a:sp3d>
      </c:spPr>
    </c:title>
    <c:autoTitleDeleted val="0"/>
    <c:plotArea>
      <c:layout>
        <c:manualLayout>
          <c:layoutTarget val="inner"/>
          <c:xMode val="edge"/>
          <c:yMode val="edge"/>
          <c:x val="8.8210122520110082E-2"/>
          <c:y val="0.23636427264773721"/>
          <c:w val="0.89455375264326775"/>
          <c:h val="0.503031791642375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 Inst'!$V$69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'10.1 P Inst'!$U$70:$U$94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 P Inst'!$V$70:$V$94</c:f>
              <c:numCache>
                <c:formatCode>#\ ##0.00</c:formatCode>
                <c:ptCount val="25"/>
                <c:pt idx="0">
                  <c:v>1276</c:v>
                </c:pt>
                <c:pt idx="1">
                  <c:v>1309.7239999999999</c:v>
                </c:pt>
                <c:pt idx="2">
                  <c:v>867.47699999999998</c:v>
                </c:pt>
                <c:pt idx="3">
                  <c:v>883.01200000000006</c:v>
                </c:pt>
                <c:pt idx="4">
                  <c:v>914.18499999999995</c:v>
                </c:pt>
                <c:pt idx="5">
                  <c:v>917.33800000000019</c:v>
                </c:pt>
                <c:pt idx="6">
                  <c:v>855.87900000000002</c:v>
                </c:pt>
                <c:pt idx="7">
                  <c:v>867.48199999999974</c:v>
                </c:pt>
                <c:pt idx="8">
                  <c:v>874.96</c:v>
                </c:pt>
                <c:pt idx="9">
                  <c:v>920.29700000000003</c:v>
                </c:pt>
                <c:pt idx="10">
                  <c:v>979.89199999999994</c:v>
                </c:pt>
                <c:pt idx="11">
                  <c:v>1033.0019999999997</c:v>
                </c:pt>
                <c:pt idx="12">
                  <c:v>1037.7919999999999</c:v>
                </c:pt>
                <c:pt idx="13">
                  <c:v>1160.9520000000007</c:v>
                </c:pt>
                <c:pt idx="14">
                  <c:v>1262.9800000000002</c:v>
                </c:pt>
                <c:pt idx="15">
                  <c:v>1303.3909999999996</c:v>
                </c:pt>
                <c:pt idx="16">
                  <c:v>1377.087</c:v>
                </c:pt>
                <c:pt idx="17">
                  <c:v>1431.9260000000006</c:v>
                </c:pt>
                <c:pt idx="18">
                  <c:v>1416.088</c:v>
                </c:pt>
                <c:pt idx="19">
                  <c:v>1463.3709999999996</c:v>
                </c:pt>
                <c:pt idx="20">
                  <c:v>1470.9139999999998</c:v>
                </c:pt>
                <c:pt idx="21">
                  <c:v>1473.2409999999998</c:v>
                </c:pt>
                <c:pt idx="22">
                  <c:v>1496.0089999999998</c:v>
                </c:pt>
                <c:pt idx="23">
                  <c:v>1494.6559999999999</c:v>
                </c:pt>
                <c:pt idx="24">
                  <c:v>1472.6450000000007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40-482B-91CD-C8E3739D0A9E}"/>
            </c:ext>
          </c:extLst>
        </c:ser>
        <c:ser>
          <c:idx val="1"/>
          <c:order val="1"/>
          <c:tx>
            <c:strRef>
              <c:f>'10.1 P Inst'!$W$69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'10.1 P Inst'!$U$70:$U$94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 P Inst'!$W$70:$W$94</c:f>
              <c:numCache>
                <c:formatCode>#\ ##0.00</c:formatCode>
                <c:ptCount val="25"/>
                <c:pt idx="0">
                  <c:v>289.39999999999998</c:v>
                </c:pt>
                <c:pt idx="1">
                  <c:v>292.54000000000002</c:v>
                </c:pt>
                <c:pt idx="2">
                  <c:v>101.47499999999999</c:v>
                </c:pt>
                <c:pt idx="3">
                  <c:v>104.645</c:v>
                </c:pt>
                <c:pt idx="4">
                  <c:v>86.150999999999982</c:v>
                </c:pt>
                <c:pt idx="5">
                  <c:v>77.564999999999998</c:v>
                </c:pt>
                <c:pt idx="6">
                  <c:v>76.894999999999996</c:v>
                </c:pt>
                <c:pt idx="7">
                  <c:v>78.868999999999971</c:v>
                </c:pt>
                <c:pt idx="8">
                  <c:v>85.48599999999999</c:v>
                </c:pt>
                <c:pt idx="9">
                  <c:v>86.807999999999964</c:v>
                </c:pt>
                <c:pt idx="10">
                  <c:v>87.861999999999981</c:v>
                </c:pt>
                <c:pt idx="11">
                  <c:v>88.201999999999998</c:v>
                </c:pt>
                <c:pt idx="12">
                  <c:v>88.456999999999994</c:v>
                </c:pt>
                <c:pt idx="13">
                  <c:v>89.987999999999971</c:v>
                </c:pt>
                <c:pt idx="14">
                  <c:v>94.337999999999994</c:v>
                </c:pt>
                <c:pt idx="15">
                  <c:v>92.807000000000016</c:v>
                </c:pt>
                <c:pt idx="16">
                  <c:v>93.893000000000001</c:v>
                </c:pt>
                <c:pt idx="17">
                  <c:v>103.14399999999998</c:v>
                </c:pt>
                <c:pt idx="18">
                  <c:v>105.63500000000002</c:v>
                </c:pt>
                <c:pt idx="19">
                  <c:v>103.596</c:v>
                </c:pt>
                <c:pt idx="20">
                  <c:v>103.97599999999998</c:v>
                </c:pt>
                <c:pt idx="21">
                  <c:v>116.776</c:v>
                </c:pt>
                <c:pt idx="22">
                  <c:v>130.22299999999998</c:v>
                </c:pt>
                <c:pt idx="23">
                  <c:v>130.90299999999999</c:v>
                </c:pt>
                <c:pt idx="24">
                  <c:v>130.90299999999999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40-482B-91CD-C8E3739D0A9E}"/>
            </c:ext>
          </c:extLst>
        </c:ser>
        <c:ser>
          <c:idx val="2"/>
          <c:order val="2"/>
          <c:tx>
            <c:strRef>
              <c:f>'10.1 P Inst'!$X$69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'10.1 P Inst'!$U$70:$U$94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 P Inst'!$X$70:$X$94</c:f>
              <c:numCache>
                <c:formatCode>#\ ##0.00</c:formatCode>
                <c:ptCount val="25"/>
                <c:pt idx="0">
                  <c:v>986.59999999999991</c:v>
                </c:pt>
                <c:pt idx="1">
                  <c:v>1017.184</c:v>
                </c:pt>
                <c:pt idx="2">
                  <c:v>766.00199999999995</c:v>
                </c:pt>
                <c:pt idx="3">
                  <c:v>778.36700000000008</c:v>
                </c:pt>
                <c:pt idx="4">
                  <c:v>828.03399999999999</c:v>
                </c:pt>
                <c:pt idx="5">
                  <c:v>839.77300000000014</c:v>
                </c:pt>
                <c:pt idx="6">
                  <c:v>778.98400000000004</c:v>
                </c:pt>
                <c:pt idx="7">
                  <c:v>788.61299999999983</c:v>
                </c:pt>
                <c:pt idx="8">
                  <c:v>789.47400000000005</c:v>
                </c:pt>
                <c:pt idx="9">
                  <c:v>833.48900000000003</c:v>
                </c:pt>
                <c:pt idx="10">
                  <c:v>892.03</c:v>
                </c:pt>
                <c:pt idx="11">
                  <c:v>944.79999999999973</c:v>
                </c:pt>
                <c:pt idx="12">
                  <c:v>949.33499999999992</c:v>
                </c:pt>
                <c:pt idx="13">
                  <c:v>1070.9640000000006</c:v>
                </c:pt>
                <c:pt idx="14">
                  <c:v>1168.6420000000003</c:v>
                </c:pt>
                <c:pt idx="15">
                  <c:v>1210.5839999999996</c:v>
                </c:pt>
                <c:pt idx="16">
                  <c:v>1283.194</c:v>
                </c:pt>
                <c:pt idx="17">
                  <c:v>1328.7820000000006</c:v>
                </c:pt>
                <c:pt idx="18">
                  <c:v>1310.453</c:v>
                </c:pt>
                <c:pt idx="19">
                  <c:v>1359.7749999999996</c:v>
                </c:pt>
                <c:pt idx="20">
                  <c:v>1366.9379999999999</c:v>
                </c:pt>
                <c:pt idx="21">
                  <c:v>1356.4649999999997</c:v>
                </c:pt>
                <c:pt idx="22">
                  <c:v>1365.7859999999998</c:v>
                </c:pt>
                <c:pt idx="23">
                  <c:v>1363.7529999999999</c:v>
                </c:pt>
                <c:pt idx="24">
                  <c:v>1341.7420000000006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40-482B-91CD-C8E3739D0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77952"/>
        <c:axId val="166079488"/>
      </c:barChart>
      <c:catAx>
        <c:axId val="16607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6607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079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7543886895794829E-2"/>
              <c:y val="0.45151642408335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66077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55035798040038"/>
          <c:y val="0.87478278851507196"/>
          <c:w val="0.34893175335331605"/>
          <c:h val="6.060637874811103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PRECIO MEDIO DE ENERGÍA ELÉCTRICA POR SECTORES ECONÓMICOS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1 995 - 2 019</a:t>
            </a:r>
          </a:p>
        </c:rich>
      </c:tx>
      <c:layout>
        <c:manualLayout>
          <c:xMode val="edge"/>
          <c:yMode val="edge"/>
          <c:x val="0.19082260161405057"/>
          <c:y val="1.4250909219307228E-2"/>
        </c:manualLayout>
      </c:layout>
      <c:overlay val="0"/>
      <c:spPr>
        <a:solidFill>
          <a:srgbClr val="3798AF"/>
        </a:solidFill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8.1889763779527558E-2"/>
          <c:y val="0.15765800442093456"/>
          <c:w val="0.89921259842519685"/>
          <c:h val="0.68018167621603198"/>
        </c:manualLayout>
      </c:layout>
      <c:lineChart>
        <c:grouping val="standard"/>
        <c:varyColors val="0"/>
        <c:ser>
          <c:idx val="0"/>
          <c:order val="0"/>
          <c:tx>
            <c:strRef>
              <c:f>'10.11  Prec med- CIIU'!$C$5</c:f>
              <c:strCache>
                <c:ptCount val="1"/>
                <c:pt idx="0">
                  <c:v>Industrial</c:v>
                </c:pt>
              </c:strCache>
            </c:strRef>
          </c:tx>
          <c:spPr>
            <a:ln w="31750">
              <a:solidFill>
                <a:srgbClr val="002060"/>
              </a:solidFill>
            </a:ln>
          </c:spPr>
          <c:marker>
            <c:symbol val="circle"/>
            <c:size val="5"/>
            <c:spPr>
              <a:solidFill>
                <a:srgbClr val="002060"/>
              </a:solidFill>
            </c:spPr>
          </c:marker>
          <c:cat>
            <c:numRef>
              <c:f>'10.11  Prec med- CIIU'!$B$7:$B$31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'10.11  Prec med- CIIU'!$C$7:$C$31</c:f>
              <c:numCache>
                <c:formatCode>#,##0.00</c:formatCode>
                <c:ptCount val="25"/>
                <c:pt idx="0">
                  <c:v>5.7782302810253094</c:v>
                </c:pt>
                <c:pt idx="1">
                  <c:v>6.0030181909749079</c:v>
                </c:pt>
                <c:pt idx="2">
                  <c:v>5.8684121848887303</c:v>
                </c:pt>
                <c:pt idx="3">
                  <c:v>5.4203479173923501</c:v>
                </c:pt>
                <c:pt idx="4">
                  <c:v>5.3406034884593927</c:v>
                </c:pt>
                <c:pt idx="5">
                  <c:v>5.6232403935526856</c:v>
                </c:pt>
                <c:pt idx="6">
                  <c:v>5.1706818557398941</c:v>
                </c:pt>
                <c:pt idx="7">
                  <c:v>5.1015716422276212</c:v>
                </c:pt>
                <c:pt idx="8">
                  <c:v>5.0458110286969831</c:v>
                </c:pt>
                <c:pt idx="9">
                  <c:v>5.3805626846567849</c:v>
                </c:pt>
                <c:pt idx="10">
                  <c:v>5.7710451565357364</c:v>
                </c:pt>
                <c:pt idx="11">
                  <c:v>5.7321248337003379</c:v>
                </c:pt>
                <c:pt idx="12">
                  <c:v>5.5975724267146312</c:v>
                </c:pt>
                <c:pt idx="13">
                  <c:v>6.6581265067235282</c:v>
                </c:pt>
                <c:pt idx="14">
                  <c:v>6.0908442865023833</c:v>
                </c:pt>
                <c:pt idx="15">
                  <c:v>5.9118425557976728</c:v>
                </c:pt>
                <c:pt idx="16">
                  <c:v>6.7069368359999997</c:v>
                </c:pt>
                <c:pt idx="17">
                  <c:v>7.3816059640000002</c:v>
                </c:pt>
                <c:pt idx="18">
                  <c:v>7.5023070970000001</c:v>
                </c:pt>
                <c:pt idx="19">
                  <c:v>8.0312491311083765</c:v>
                </c:pt>
                <c:pt idx="20">
                  <c:v>7.7017087933678923</c:v>
                </c:pt>
                <c:pt idx="21">
                  <c:v>7.3001152641734652</c:v>
                </c:pt>
                <c:pt idx="22">
                  <c:v>6.9093560973171986</c:v>
                </c:pt>
                <c:pt idx="23">
                  <c:v>6.8268639100443682</c:v>
                </c:pt>
                <c:pt idx="24">
                  <c:v>6.7397943685643487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DA-47C9-A155-950BA4BC9EDA}"/>
            </c:ext>
          </c:extLst>
        </c:ser>
        <c:ser>
          <c:idx val="1"/>
          <c:order val="1"/>
          <c:tx>
            <c:strRef>
              <c:f>'10.11  Prec med- CIIU'!$D$5</c:f>
              <c:strCache>
                <c:ptCount val="1"/>
                <c:pt idx="0">
                  <c:v>Comercial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olid"/>
            </a:ln>
            <a:effectLst/>
          </c:spPr>
          <c:marker>
            <c:symbol val="triangle"/>
            <c:size val="5"/>
            <c:spPr>
              <a:solidFill>
                <a:srgbClr val="0070C0"/>
              </a:solidFill>
              <a:ln w="9525">
                <a:noFill/>
              </a:ln>
            </c:spPr>
          </c:marker>
          <c:cat>
            <c:numRef>
              <c:f>'10.11  Prec med- CIIU'!$B$7:$B$31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'10.11  Prec med- CIIU'!$D$7:$D$31</c:f>
              <c:numCache>
                <c:formatCode>#,##0.00</c:formatCode>
                <c:ptCount val="25"/>
                <c:pt idx="0">
                  <c:v>8.9302367672784584</c:v>
                </c:pt>
                <c:pt idx="1">
                  <c:v>9.0694904684164612</c:v>
                </c:pt>
                <c:pt idx="2">
                  <c:v>8.9205556778745976</c:v>
                </c:pt>
                <c:pt idx="3">
                  <c:v>7.4315449474932489</c:v>
                </c:pt>
                <c:pt idx="4">
                  <c:v>7.0256874835606498</c:v>
                </c:pt>
                <c:pt idx="5">
                  <c:v>7.3207428422098104</c:v>
                </c:pt>
                <c:pt idx="6">
                  <c:v>7.3332801640044396</c:v>
                </c:pt>
                <c:pt idx="7">
                  <c:v>7.4281104644374469</c:v>
                </c:pt>
                <c:pt idx="8">
                  <c:v>7.1353528490967735</c:v>
                </c:pt>
                <c:pt idx="9">
                  <c:v>7.7661883737661785</c:v>
                </c:pt>
                <c:pt idx="10">
                  <c:v>8.4694383881362061</c:v>
                </c:pt>
                <c:pt idx="11">
                  <c:v>8.1955962043482309</c:v>
                </c:pt>
                <c:pt idx="12">
                  <c:v>8.2568829585447201</c:v>
                </c:pt>
                <c:pt idx="13">
                  <c:v>8.8890837350718002</c:v>
                </c:pt>
                <c:pt idx="14">
                  <c:v>9.4401478562870338</c:v>
                </c:pt>
                <c:pt idx="15">
                  <c:v>10.110599528616511</c:v>
                </c:pt>
                <c:pt idx="16">
                  <c:v>10.2108472</c:v>
                </c:pt>
                <c:pt idx="17">
                  <c:v>10.983012199999999</c:v>
                </c:pt>
                <c:pt idx="18">
                  <c:v>10.907997099999999</c:v>
                </c:pt>
                <c:pt idx="19">
                  <c:v>12.301411987957612</c:v>
                </c:pt>
                <c:pt idx="20">
                  <c:v>12.270698485647618</c:v>
                </c:pt>
                <c:pt idx="21">
                  <c:v>12.4</c:v>
                </c:pt>
                <c:pt idx="22">
                  <c:v>12.36150458399511</c:v>
                </c:pt>
                <c:pt idx="23">
                  <c:v>12.878542073669545</c:v>
                </c:pt>
                <c:pt idx="24">
                  <c:v>12.950614593544486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DA-47C9-A155-950BA4BC9EDA}"/>
            </c:ext>
          </c:extLst>
        </c:ser>
        <c:ser>
          <c:idx val="2"/>
          <c:order val="2"/>
          <c:tx>
            <c:strRef>
              <c:f>'10.11  Prec med- CIIU'!$E$5</c:f>
              <c:strCache>
                <c:ptCount val="1"/>
                <c:pt idx="0">
                  <c:v>Residencial</c:v>
                </c:pt>
              </c:strCache>
            </c:strRef>
          </c:tx>
          <c:spPr>
            <a:ln w="3175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cat>
            <c:numRef>
              <c:f>'10.11  Prec med- CIIU'!$B$7:$B$31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'10.11  Prec med- CIIU'!$E$7:$E$31</c:f>
              <c:numCache>
                <c:formatCode>#,##0.00</c:formatCode>
                <c:ptCount val="25"/>
                <c:pt idx="0">
                  <c:v>11.283446398970833</c:v>
                </c:pt>
                <c:pt idx="1">
                  <c:v>11.700802658519068</c:v>
                </c:pt>
                <c:pt idx="2">
                  <c:v>11.582177535507025</c:v>
                </c:pt>
                <c:pt idx="3">
                  <c:v>9.9684339944200495</c:v>
                </c:pt>
                <c:pt idx="4">
                  <c:v>9.4944349046683083</c:v>
                </c:pt>
                <c:pt idx="5">
                  <c:v>10.077877207303533</c:v>
                </c:pt>
                <c:pt idx="6">
                  <c:v>10.040241931531753</c:v>
                </c:pt>
                <c:pt idx="7">
                  <c:v>8.9766906984860597</c:v>
                </c:pt>
                <c:pt idx="8">
                  <c:v>9.6710123586537318</c:v>
                </c:pt>
                <c:pt idx="9">
                  <c:v>9.9578542547562368</c:v>
                </c:pt>
                <c:pt idx="10">
                  <c:v>10.83636761874177</c:v>
                </c:pt>
                <c:pt idx="11">
                  <c:v>10.756475285056688</c:v>
                </c:pt>
                <c:pt idx="12">
                  <c:v>10.68990130553876</c:v>
                </c:pt>
                <c:pt idx="13">
                  <c:v>11.273478337353472</c:v>
                </c:pt>
                <c:pt idx="14">
                  <c:v>11.926617410595755</c:v>
                </c:pt>
                <c:pt idx="15">
                  <c:v>12.206216169236948</c:v>
                </c:pt>
                <c:pt idx="16">
                  <c:v>13.043042</c:v>
                </c:pt>
                <c:pt idx="17">
                  <c:v>14.1041095</c:v>
                </c:pt>
                <c:pt idx="18">
                  <c:v>14.170105599999999</c:v>
                </c:pt>
                <c:pt idx="19">
                  <c:v>15.78132862713845</c:v>
                </c:pt>
                <c:pt idx="20">
                  <c:v>15.568993167433268</c:v>
                </c:pt>
                <c:pt idx="21">
                  <c:v>16.075329350197936</c:v>
                </c:pt>
                <c:pt idx="22">
                  <c:v>16.498263611023503</c:v>
                </c:pt>
                <c:pt idx="23">
                  <c:v>17.262855749113854</c:v>
                </c:pt>
                <c:pt idx="24">
                  <c:v>17.695675257879802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3DA-47C9-A155-950BA4BC9EDA}"/>
            </c:ext>
          </c:extLst>
        </c:ser>
        <c:ser>
          <c:idx val="3"/>
          <c:order val="3"/>
          <c:tx>
            <c:strRef>
              <c:f>'10.11  Prec med- CIIU'!$F$5</c:f>
              <c:strCache>
                <c:ptCount val="1"/>
                <c:pt idx="0">
                  <c:v>Alumbrado Público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noFill/>
                <a:prstDash val="solid"/>
              </a:ln>
              <a:effectLst/>
            </c:spPr>
          </c:marker>
          <c:cat>
            <c:numRef>
              <c:f>'10.11  Prec med- CIIU'!$B$7:$B$31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'10.11  Prec med- CIIU'!$F$7:$F$31</c:f>
              <c:numCache>
                <c:formatCode>#,##0.00</c:formatCode>
                <c:ptCount val="25"/>
                <c:pt idx="0">
                  <c:v>8.4803805094420035</c:v>
                </c:pt>
                <c:pt idx="1">
                  <c:v>10.015867859658382</c:v>
                </c:pt>
                <c:pt idx="2">
                  <c:v>9.6052586075462489</c:v>
                </c:pt>
                <c:pt idx="3">
                  <c:v>8.3800249198594479</c:v>
                </c:pt>
                <c:pt idx="4">
                  <c:v>8.132461037046669</c:v>
                </c:pt>
                <c:pt idx="5">
                  <c:v>8.9205908881321658</c:v>
                </c:pt>
                <c:pt idx="6">
                  <c:v>9.3918509603971447</c:v>
                </c:pt>
                <c:pt idx="7">
                  <c:v>7.9240644839032566</c:v>
                </c:pt>
                <c:pt idx="8">
                  <c:v>7.7695003248875425</c:v>
                </c:pt>
                <c:pt idx="9">
                  <c:v>9.6732809065578866</c:v>
                </c:pt>
                <c:pt idx="10">
                  <c:v>10.285576031650301</c:v>
                </c:pt>
                <c:pt idx="11">
                  <c:v>10.825611995897283</c:v>
                </c:pt>
                <c:pt idx="12">
                  <c:v>10.292187443523428</c:v>
                </c:pt>
                <c:pt idx="13">
                  <c:v>10.670788413669451</c:v>
                </c:pt>
                <c:pt idx="14">
                  <c:v>11.525785044073674</c:v>
                </c:pt>
                <c:pt idx="15">
                  <c:v>12.072008153137142</c:v>
                </c:pt>
                <c:pt idx="16">
                  <c:v>12.7852389</c:v>
                </c:pt>
                <c:pt idx="17">
                  <c:v>13.9780652</c:v>
                </c:pt>
                <c:pt idx="18">
                  <c:v>13.259696699999999</c:v>
                </c:pt>
                <c:pt idx="19">
                  <c:v>13.303554800411794</c:v>
                </c:pt>
                <c:pt idx="20">
                  <c:v>13.669802678698016</c:v>
                </c:pt>
                <c:pt idx="21">
                  <c:v>15.225606159678609</c:v>
                </c:pt>
                <c:pt idx="22">
                  <c:v>15.901634872294261</c:v>
                </c:pt>
                <c:pt idx="23">
                  <c:v>16.094148722764423</c:v>
                </c:pt>
                <c:pt idx="24">
                  <c:v>17.231541664440272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3DA-47C9-A155-950BA4BC9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237952"/>
        <c:axId val="412558464"/>
      </c:lineChart>
      <c:catAx>
        <c:axId val="4102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1255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558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Cent. US$/kW.h</a:t>
                </a:r>
              </a:p>
            </c:rich>
          </c:tx>
          <c:layout>
            <c:manualLayout>
              <c:xMode val="edge"/>
              <c:yMode val="edge"/>
              <c:x val="8.1036921323172414E-3"/>
              <c:y val="0.407658627873309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10237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90551181102362"/>
          <c:y val="0.93243435377752659"/>
          <c:w val="0.7039370078740157"/>
          <c:h val="5.4054353071336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DEL CONSUMO DE ENERGÍA ELÉCTRICA POR TIPO DE EMPRESA
1995 - 2019</a:t>
            </a:r>
          </a:p>
        </c:rich>
      </c:tx>
      <c:layout>
        <c:manualLayout>
          <c:xMode val="edge"/>
          <c:yMode val="edge"/>
          <c:x val="0.17190690969454059"/>
          <c:y val="3.1961750395235682E-2"/>
        </c:manualLayout>
      </c:layout>
      <c:overlay val="0"/>
      <c:spPr>
        <a:solidFill>
          <a:srgbClr val="3798AF"/>
        </a:solidFill>
        <a:ln w="3175"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424313032299529E-2"/>
          <c:y val="0.15820939049285507"/>
          <c:w val="0.88362997989246084"/>
          <c:h val="0.66000337677088605"/>
        </c:manualLayout>
      </c:layout>
      <c:lineChart>
        <c:grouping val="standard"/>
        <c:varyColors val="0"/>
        <c:ser>
          <c:idx val="0"/>
          <c:order val="0"/>
          <c:tx>
            <c:v>Consumo total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'10.12 Consumo'!$B$7:$B$31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'10.12 Consumo'!$C$7:$C$31</c:f>
              <c:numCache>
                <c:formatCode>#,##0.00</c:formatCode>
                <c:ptCount val="25"/>
                <c:pt idx="0">
                  <c:v>13623.056128000004</c:v>
                </c:pt>
                <c:pt idx="1">
                  <c:v>14303.139597999991</c:v>
                </c:pt>
                <c:pt idx="2">
                  <c:v>15056.08015999999</c:v>
                </c:pt>
                <c:pt idx="3">
                  <c:v>15775.176823</c:v>
                </c:pt>
                <c:pt idx="4">
                  <c:v>16274.991559000011</c:v>
                </c:pt>
                <c:pt idx="5">
                  <c:v>17140.395011000015</c:v>
                </c:pt>
                <c:pt idx="6">
                  <c:v>18199.95454499999</c:v>
                </c:pt>
                <c:pt idx="7">
                  <c:v>19168.140412848003</c:v>
                </c:pt>
                <c:pt idx="8">
                  <c:v>19937.226353999995</c:v>
                </c:pt>
                <c:pt idx="9">
                  <c:v>21287.724389999999</c:v>
                </c:pt>
                <c:pt idx="10">
                  <c:v>22400.244750429476</c:v>
                </c:pt>
                <c:pt idx="11">
                  <c:v>24046.126090621408</c:v>
                </c:pt>
                <c:pt idx="12">
                  <c:v>26464.304604659999</c:v>
                </c:pt>
                <c:pt idx="13">
                  <c:v>28833.06706300001</c:v>
                </c:pt>
                <c:pt idx="14">
                  <c:v>29109.838815000003</c:v>
                </c:pt>
                <c:pt idx="15">
                  <c:v>31798.367258000002</c:v>
                </c:pt>
                <c:pt idx="16">
                  <c:v>34378.279759024772</c:v>
                </c:pt>
                <c:pt idx="17">
                  <c:v>36323.13966340795</c:v>
                </c:pt>
                <c:pt idx="18">
                  <c:v>38275.164241306404</c:v>
                </c:pt>
                <c:pt idx="19">
                  <c:v>40031.348837330988</c:v>
                </c:pt>
                <c:pt idx="20">
                  <c:v>42333.76078033018</c:v>
                </c:pt>
                <c:pt idx="21">
                  <c:v>45532.892131120541</c:v>
                </c:pt>
                <c:pt idx="22">
                  <c:v>46578.443952766262</c:v>
                </c:pt>
                <c:pt idx="23">
                  <c:v>48398.55041491711</c:v>
                </c:pt>
                <c:pt idx="24">
                  <c:v>49940.650075603022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EE-4F6D-9AA6-739C9C9F7A42}"/>
            </c:ext>
          </c:extLst>
        </c:ser>
        <c:ser>
          <c:idx val="1"/>
          <c:order val="1"/>
          <c:tx>
            <c:v>Ventas Distribuidoras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'10.12 Consumo'!$B$7:$B$31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'10.12 Consumo'!$E$7:$E$31</c:f>
              <c:numCache>
                <c:formatCode>#,##0.00</c:formatCode>
                <c:ptCount val="25"/>
                <c:pt idx="0">
                  <c:v>8673.7080870000045</c:v>
                </c:pt>
                <c:pt idx="1">
                  <c:v>8770.6107359999914</c:v>
                </c:pt>
                <c:pt idx="2">
                  <c:v>9377.8946799999903</c:v>
                </c:pt>
                <c:pt idx="3">
                  <c:v>9878.6615729999976</c:v>
                </c:pt>
                <c:pt idx="4">
                  <c:v>10198.991027000011</c:v>
                </c:pt>
                <c:pt idx="5">
                  <c:v>10763.269271000014</c:v>
                </c:pt>
                <c:pt idx="6">
                  <c:v>10522.374724999987</c:v>
                </c:pt>
                <c:pt idx="7">
                  <c:v>11113.547163000001</c:v>
                </c:pt>
                <c:pt idx="8">
                  <c:v>11303.613572999999</c:v>
                </c:pt>
                <c:pt idx="9">
                  <c:v>12001.305316</c:v>
                </c:pt>
                <c:pt idx="10">
                  <c:v>12914.287800222222</c:v>
                </c:pt>
                <c:pt idx="11">
                  <c:v>14043.638326999999</c:v>
                </c:pt>
                <c:pt idx="12">
                  <c:v>15032.180854999999</c:v>
                </c:pt>
                <c:pt idx="13">
                  <c:v>16297.176545000008</c:v>
                </c:pt>
                <c:pt idx="14">
                  <c:v>17000.664145000002</c:v>
                </c:pt>
                <c:pt idx="15">
                  <c:v>18195.325098000001</c:v>
                </c:pt>
                <c:pt idx="16">
                  <c:v>19753.040698251105</c:v>
                </c:pt>
                <c:pt idx="17">
                  <c:v>20947.295381</c:v>
                </c:pt>
                <c:pt idx="18">
                  <c:v>21935.480477000001</c:v>
                </c:pt>
                <c:pt idx="19">
                  <c:v>22781.971993397197</c:v>
                </c:pt>
                <c:pt idx="20">
                  <c:v>23494.010900000001</c:v>
                </c:pt>
                <c:pt idx="21">
                  <c:v>22886.332354000002</c:v>
                </c:pt>
                <c:pt idx="22">
                  <c:v>22399.543247369966</c:v>
                </c:pt>
                <c:pt idx="23">
                  <c:v>22073.874790390117</c:v>
                </c:pt>
                <c:pt idx="24">
                  <c:v>22355.024662000003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EE-4F6D-9AA6-739C9C9F7A42}"/>
            </c:ext>
          </c:extLst>
        </c:ser>
        <c:ser>
          <c:idx val="2"/>
          <c:order val="2"/>
          <c:tx>
            <c:v>Ventas Generadoras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numRef>
              <c:f>'10.12 Consumo'!$B$7:$B$31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'10.12 Consumo'!$F$7:$F$31</c:f>
              <c:numCache>
                <c:formatCode>#,##0.00</c:formatCode>
                <c:ptCount val="25"/>
                <c:pt idx="0">
                  <c:v>1175.548041</c:v>
                </c:pt>
                <c:pt idx="1">
                  <c:v>1560.2288619999999</c:v>
                </c:pt>
                <c:pt idx="2">
                  <c:v>3073.3354799999997</c:v>
                </c:pt>
                <c:pt idx="3">
                  <c:v>4129.9152500000009</c:v>
                </c:pt>
                <c:pt idx="4">
                  <c:v>4393.000532</c:v>
                </c:pt>
                <c:pt idx="5">
                  <c:v>4782.3261210000001</c:v>
                </c:pt>
                <c:pt idx="6">
                  <c:v>6106.3798200000001</c:v>
                </c:pt>
                <c:pt idx="7">
                  <c:v>6491.7787508479996</c:v>
                </c:pt>
                <c:pt idx="8">
                  <c:v>7071.7218369999982</c:v>
                </c:pt>
                <c:pt idx="9">
                  <c:v>7639.3457940000008</c:v>
                </c:pt>
                <c:pt idx="10">
                  <c:v>7787.095080000001</c:v>
                </c:pt>
                <c:pt idx="11">
                  <c:v>8246.4228259999982</c:v>
                </c:pt>
                <c:pt idx="12">
                  <c:v>9689.5676979999989</c:v>
                </c:pt>
                <c:pt idx="13">
                  <c:v>10667.238051000004</c:v>
                </c:pt>
                <c:pt idx="14">
                  <c:v>10086.341632</c:v>
                </c:pt>
                <c:pt idx="15">
                  <c:v>11240.850026</c:v>
                </c:pt>
                <c:pt idx="16">
                  <c:v>12067.310106999999</c:v>
                </c:pt>
                <c:pt idx="17">
                  <c:v>12700.890554</c:v>
                </c:pt>
                <c:pt idx="18">
                  <c:v>13674.172223</c:v>
                </c:pt>
                <c:pt idx="19">
                  <c:v>14545.805000799999</c:v>
                </c:pt>
                <c:pt idx="20">
                  <c:v>16280.733700000001</c:v>
                </c:pt>
                <c:pt idx="21">
                  <c:v>20480.666756700004</c:v>
                </c:pt>
                <c:pt idx="22">
                  <c:v>21823.709569899995</c:v>
                </c:pt>
                <c:pt idx="23">
                  <c:v>23793.913051799947</c:v>
                </c:pt>
                <c:pt idx="24">
                  <c:v>25065.713250000001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0EE-4F6D-9AA6-739C9C9F7A42}"/>
            </c:ext>
          </c:extLst>
        </c:ser>
        <c:ser>
          <c:idx val="3"/>
          <c:order val="3"/>
          <c:tx>
            <c:strRef>
              <c:f>'10.12 Consumo'!$G$4:$G$5</c:f>
              <c:strCache>
                <c:ptCount val="1"/>
                <c:pt idx="0">
                  <c:v>Generación de uso propio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'10.12 Consumo'!$B$7:$B$31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'10.12 Consumo'!$G$7:$G$31</c:f>
              <c:numCache>
                <c:formatCode>#,##0.00</c:formatCode>
                <c:ptCount val="25"/>
                <c:pt idx="0">
                  <c:v>3773.8</c:v>
                </c:pt>
                <c:pt idx="1">
                  <c:v>3972.3</c:v>
                </c:pt>
                <c:pt idx="2">
                  <c:v>2604.85</c:v>
                </c:pt>
                <c:pt idx="3">
                  <c:v>1766.6</c:v>
                </c:pt>
                <c:pt idx="4">
                  <c:v>1683</c:v>
                </c:pt>
                <c:pt idx="5">
                  <c:v>1594.7996189999999</c:v>
                </c:pt>
                <c:pt idx="6">
                  <c:v>1571.2</c:v>
                </c:pt>
                <c:pt idx="7">
                  <c:v>1562.8144990000035</c:v>
                </c:pt>
                <c:pt idx="8">
                  <c:v>1561.8909439999998</c:v>
                </c:pt>
                <c:pt idx="9">
                  <c:v>1647.0732800000003</c:v>
                </c:pt>
                <c:pt idx="10">
                  <c:v>1698.8618702072531</c:v>
                </c:pt>
                <c:pt idx="11">
                  <c:v>1756.0649376214139</c:v>
                </c:pt>
                <c:pt idx="12">
                  <c:v>1742.5560516600001</c:v>
                </c:pt>
                <c:pt idx="13">
                  <c:v>1868.6524669999999</c:v>
                </c:pt>
                <c:pt idx="14">
                  <c:v>2022.8330379999998</c:v>
                </c:pt>
                <c:pt idx="15">
                  <c:v>2362.1921340000008</c:v>
                </c:pt>
                <c:pt idx="16">
                  <c:v>2557.9289537736718</c:v>
                </c:pt>
                <c:pt idx="17">
                  <c:v>2674.953728407947</c:v>
                </c:pt>
                <c:pt idx="18">
                  <c:v>2665.5115413064059</c:v>
                </c:pt>
                <c:pt idx="19">
                  <c:v>2703.5718431337964</c:v>
                </c:pt>
                <c:pt idx="20">
                  <c:v>2559.0161803301708</c:v>
                </c:pt>
                <c:pt idx="21">
                  <c:v>2165.8930204205285</c:v>
                </c:pt>
                <c:pt idx="22">
                  <c:v>2355.1911354963022</c:v>
                </c:pt>
                <c:pt idx="23">
                  <c:v>2530.7625727270442</c:v>
                </c:pt>
                <c:pt idx="24">
                  <c:v>2519.9121636030145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0EE-4F6D-9AA6-739C9C9F7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859904"/>
        <c:axId val="426894848"/>
      </c:lineChart>
      <c:catAx>
        <c:axId val="4268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2689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8948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800"/>
                  <a:t>GW.h</a:t>
                </a:r>
              </a:p>
            </c:rich>
          </c:tx>
          <c:layout>
            <c:manualLayout>
              <c:xMode val="edge"/>
              <c:yMode val="edge"/>
              <c:x val="7.4279939711872425E-3"/>
              <c:y val="0.413027889057727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2685990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908691768325277E-2"/>
          <c:y val="0.91170511580789249"/>
          <c:w val="0.8675947175459835"/>
          <c:h val="6.53874844591794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ysClr val="windowText" lastClr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DEL CONSUMO DE ENERGÍA ELÉCTRICA TIPO DE  SERVICIO
1995 - 2019</a:t>
            </a:r>
          </a:p>
        </c:rich>
      </c:tx>
      <c:layout>
        <c:manualLayout>
          <c:xMode val="edge"/>
          <c:yMode val="edge"/>
          <c:x val="0.18155164214431704"/>
          <c:y val="2.1220347456567926E-2"/>
        </c:manualLayout>
      </c:layout>
      <c:overlay val="0"/>
      <c:spPr>
        <a:solidFill>
          <a:srgbClr val="3798AF"/>
        </a:solidFill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9.8055744300997907E-2"/>
          <c:y val="0.18387967016186502"/>
          <c:w val="0.87309378205896837"/>
          <c:h val="0.6256230471191101"/>
        </c:manualLayout>
      </c:layout>
      <c:areaChart>
        <c:grouping val="stacked"/>
        <c:varyColors val="0"/>
        <c:ser>
          <c:idx val="0"/>
          <c:order val="0"/>
          <c:tx>
            <c:strRef>
              <c:f>'10.12 Consumo'!$D$4:$F$4</c:f>
              <c:strCache>
                <c:ptCount val="1"/>
                <c:pt idx="0">
                  <c:v>Ventas a Cliente Final</c:v>
                </c:pt>
              </c:strCache>
            </c:strRef>
          </c:tx>
          <c:spPr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cat>
            <c:numRef>
              <c:f>'10.12 Consumo'!$B$7:$B$30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'10.12 Consumo'!$D$7:$D$31</c:f>
              <c:numCache>
                <c:formatCode>#,##0.00</c:formatCode>
                <c:ptCount val="25"/>
                <c:pt idx="0">
                  <c:v>9849.2561280000045</c:v>
                </c:pt>
                <c:pt idx="1">
                  <c:v>10330.839597999991</c:v>
                </c:pt>
                <c:pt idx="2">
                  <c:v>12451.23015999999</c:v>
                </c:pt>
                <c:pt idx="3">
                  <c:v>14008.576822999999</c:v>
                </c:pt>
                <c:pt idx="4">
                  <c:v>14591.991559000011</c:v>
                </c:pt>
                <c:pt idx="5">
                  <c:v>15545.595392000014</c:v>
                </c:pt>
                <c:pt idx="6">
                  <c:v>16628.754544999989</c:v>
                </c:pt>
                <c:pt idx="7">
                  <c:v>17605.325913847999</c:v>
                </c:pt>
                <c:pt idx="8">
                  <c:v>18375.335409999996</c:v>
                </c:pt>
                <c:pt idx="9">
                  <c:v>19640.651109999999</c:v>
                </c:pt>
                <c:pt idx="10">
                  <c:v>20701.382880222223</c:v>
                </c:pt>
                <c:pt idx="11">
                  <c:v>22290.061152999995</c:v>
                </c:pt>
                <c:pt idx="12">
                  <c:v>24721.748552999998</c:v>
                </c:pt>
                <c:pt idx="13">
                  <c:v>26964.41459600001</c:v>
                </c:pt>
                <c:pt idx="14">
                  <c:v>27087.005777000002</c:v>
                </c:pt>
                <c:pt idx="15">
                  <c:v>29436.175124000001</c:v>
                </c:pt>
                <c:pt idx="16">
                  <c:v>31820.350805251102</c:v>
                </c:pt>
                <c:pt idx="17">
                  <c:v>33648.185935000001</c:v>
                </c:pt>
                <c:pt idx="18">
                  <c:v>35609.652699999999</c:v>
                </c:pt>
                <c:pt idx="19">
                  <c:v>37327.776994197193</c:v>
                </c:pt>
                <c:pt idx="20">
                  <c:v>39774.744600000005</c:v>
                </c:pt>
                <c:pt idx="21">
                  <c:v>43366.99911070001</c:v>
                </c:pt>
                <c:pt idx="22">
                  <c:v>44223.25281726996</c:v>
                </c:pt>
                <c:pt idx="23">
                  <c:v>45867.787842190068</c:v>
                </c:pt>
                <c:pt idx="24">
                  <c:v>47420.737912000004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86-4EA6-B1C5-0A256FEA2953}"/>
            </c:ext>
          </c:extLst>
        </c:ser>
        <c:ser>
          <c:idx val="3"/>
          <c:order val="1"/>
          <c:tx>
            <c:strRef>
              <c:f>'10.12 Consumo'!$G$4:$G$5</c:f>
              <c:strCache>
                <c:ptCount val="1"/>
                <c:pt idx="0">
                  <c:v>Generación de uso propio</c:v>
                </c:pt>
              </c:strCache>
            </c:strRef>
          </c:tx>
          <c:spPr>
            <a:ln>
              <a:noFill/>
            </a:ln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cat>
            <c:numRef>
              <c:f>'10.12 Consumo'!$B$7:$B$30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'10.12 Consumo'!$G$7:$G$31</c:f>
              <c:numCache>
                <c:formatCode>#,##0.00</c:formatCode>
                <c:ptCount val="25"/>
                <c:pt idx="0">
                  <c:v>3773.8</c:v>
                </c:pt>
                <c:pt idx="1">
                  <c:v>3972.3</c:v>
                </c:pt>
                <c:pt idx="2">
                  <c:v>2604.85</c:v>
                </c:pt>
                <c:pt idx="3">
                  <c:v>1766.6</c:v>
                </c:pt>
                <c:pt idx="4">
                  <c:v>1683</c:v>
                </c:pt>
                <c:pt idx="5">
                  <c:v>1594.7996189999999</c:v>
                </c:pt>
                <c:pt idx="6">
                  <c:v>1571.2</c:v>
                </c:pt>
                <c:pt idx="7">
                  <c:v>1562.8144990000035</c:v>
                </c:pt>
                <c:pt idx="8">
                  <c:v>1561.8909439999998</c:v>
                </c:pt>
                <c:pt idx="9">
                  <c:v>1647.0732800000003</c:v>
                </c:pt>
                <c:pt idx="10">
                  <c:v>1698.8618702072531</c:v>
                </c:pt>
                <c:pt idx="11">
                  <c:v>1756.0649376214139</c:v>
                </c:pt>
                <c:pt idx="12">
                  <c:v>1742.5560516600001</c:v>
                </c:pt>
                <c:pt idx="13">
                  <c:v>1868.6524669999999</c:v>
                </c:pt>
                <c:pt idx="14">
                  <c:v>2022.8330379999998</c:v>
                </c:pt>
                <c:pt idx="15">
                  <c:v>2362.1921340000008</c:v>
                </c:pt>
                <c:pt idx="16">
                  <c:v>2557.9289537736718</c:v>
                </c:pt>
                <c:pt idx="17">
                  <c:v>2674.953728407947</c:v>
                </c:pt>
                <c:pt idx="18">
                  <c:v>2665.5115413064059</c:v>
                </c:pt>
                <c:pt idx="19">
                  <c:v>2703.5718431337964</c:v>
                </c:pt>
                <c:pt idx="20">
                  <c:v>2559.0161803301708</c:v>
                </c:pt>
                <c:pt idx="21">
                  <c:v>2165.8930204205285</c:v>
                </c:pt>
                <c:pt idx="22">
                  <c:v>2355.1911354963022</c:v>
                </c:pt>
                <c:pt idx="23">
                  <c:v>2530.7625727270442</c:v>
                </c:pt>
                <c:pt idx="24">
                  <c:v>2519.9121636030145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86-4EA6-B1C5-0A256FEA2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150720"/>
        <c:axId val="427161472"/>
      </c:areaChart>
      <c:catAx>
        <c:axId val="42715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2716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161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5.6854124198942131E-3"/>
              <c:y val="0.437215098112735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27150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9592489735463567"/>
          <c:y val="0.90275115610548684"/>
          <c:w val="0.41912213255500741"/>
          <c:h val="7.1515560554930691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DEL NÚMERO DE CLIENTES EN EL MERCADO LIBRE </a:t>
            </a:r>
          </a:p>
        </c:rich>
      </c:tx>
      <c:layout>
        <c:manualLayout>
          <c:xMode val="edge"/>
          <c:yMode val="edge"/>
          <c:x val="0.2490211617716252"/>
          <c:y val="3.0211395989294444E-2"/>
        </c:manualLayout>
      </c:layout>
      <c:overlay val="0"/>
      <c:spPr>
        <a:solidFill>
          <a:srgbClr val="3798AF"/>
        </a:solidFill>
        <a:ln w="3175">
          <a:noFill/>
          <a:prstDash val="solid"/>
        </a:ln>
        <a:scene3d>
          <a:camera prst="orthographicFront"/>
          <a:lightRig rig="threePt" dir="t"/>
        </a:scene3d>
        <a:sp3d prstMaterial="plastic">
          <a:bevelT w="50800" h="63500"/>
        </a:sp3d>
      </c:spPr>
    </c:title>
    <c:autoTitleDeleted val="0"/>
    <c:view3D>
      <c:rotX val="0"/>
      <c:rotY val="0"/>
      <c:depthPercent val="100"/>
      <c:rAngAx val="1"/>
    </c:view3D>
    <c:floor>
      <c:thickness val="0"/>
      <c:spPr>
        <a:solidFill>
          <a:srgbClr val="969696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1393348138209984E-2"/>
          <c:y val="0.15427319726294672"/>
          <c:w val="0.88624366050251469"/>
          <c:h val="0.659940019238730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'10.13 Clientes'!$S$42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002060"/>
            </a:solidFill>
            <a:ln w="12700">
              <a:noFill/>
              <a:prstDash val="solid"/>
            </a:ln>
          </c:spPr>
          <c:invertIfNegative val="0"/>
          <c:cat>
            <c:numRef>
              <c:f>'10.13 Clientes'!$R$43:$R$64</c:f>
              <c:numCache>
                <c:formatCode>#,##0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'10.13 Clientes'!$S$43:$S$64</c:f>
              <c:numCache>
                <c:formatCode>#,##0</c:formatCode>
                <c:ptCount val="22"/>
                <c:pt idx="0">
                  <c:v>17</c:v>
                </c:pt>
                <c:pt idx="1">
                  <c:v>13</c:v>
                </c:pt>
                <c:pt idx="2">
                  <c:v>15</c:v>
                </c:pt>
                <c:pt idx="3">
                  <c:v>23</c:v>
                </c:pt>
                <c:pt idx="4">
                  <c:v>32</c:v>
                </c:pt>
                <c:pt idx="5">
                  <c:v>37</c:v>
                </c:pt>
                <c:pt idx="6">
                  <c:v>37</c:v>
                </c:pt>
                <c:pt idx="7">
                  <c:v>36</c:v>
                </c:pt>
                <c:pt idx="8">
                  <c:v>38</c:v>
                </c:pt>
                <c:pt idx="9">
                  <c:v>43</c:v>
                </c:pt>
                <c:pt idx="10">
                  <c:v>44</c:v>
                </c:pt>
                <c:pt idx="11">
                  <c:v>42</c:v>
                </c:pt>
                <c:pt idx="12">
                  <c:v>48</c:v>
                </c:pt>
                <c:pt idx="13">
                  <c:v>48</c:v>
                </c:pt>
                <c:pt idx="14">
                  <c:v>52</c:v>
                </c:pt>
                <c:pt idx="15">
                  <c:v>57</c:v>
                </c:pt>
                <c:pt idx="16">
                  <c:v>67</c:v>
                </c:pt>
                <c:pt idx="17">
                  <c:v>61</c:v>
                </c:pt>
                <c:pt idx="18">
                  <c:v>71</c:v>
                </c:pt>
                <c:pt idx="19">
                  <c:v>134</c:v>
                </c:pt>
                <c:pt idx="20">
                  <c:v>185</c:v>
                </c:pt>
                <c:pt idx="21">
                  <c:v>230.00000000000003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DC-45FA-B1C9-7F78B5E3B63B}"/>
            </c:ext>
          </c:extLst>
        </c:ser>
        <c:ser>
          <c:idx val="1"/>
          <c:order val="1"/>
          <c:tx>
            <c:strRef>
              <c:f>'10.13 Clientes'!$T$42</c:f>
              <c:strCache>
                <c:ptCount val="1"/>
                <c:pt idx="0">
                  <c:v>AT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'10.13 Clientes'!$R$43:$R$64</c:f>
              <c:numCache>
                <c:formatCode>#,##0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'10.13 Clientes'!$T$43:$T$64</c:f>
              <c:numCache>
                <c:formatCode>#,##0</c:formatCode>
                <c:ptCount val="22"/>
                <c:pt idx="0">
                  <c:v>37</c:v>
                </c:pt>
                <c:pt idx="1">
                  <c:v>41</c:v>
                </c:pt>
                <c:pt idx="2">
                  <c:v>40</c:v>
                </c:pt>
                <c:pt idx="3">
                  <c:v>38</c:v>
                </c:pt>
                <c:pt idx="4">
                  <c:v>41</c:v>
                </c:pt>
                <c:pt idx="5">
                  <c:v>35</c:v>
                </c:pt>
                <c:pt idx="6">
                  <c:v>33</c:v>
                </c:pt>
                <c:pt idx="7">
                  <c:v>36</c:v>
                </c:pt>
                <c:pt idx="8">
                  <c:v>36</c:v>
                </c:pt>
                <c:pt idx="9">
                  <c:v>34</c:v>
                </c:pt>
                <c:pt idx="10">
                  <c:v>34</c:v>
                </c:pt>
                <c:pt idx="11">
                  <c:v>40</c:v>
                </c:pt>
                <c:pt idx="12">
                  <c:v>39</c:v>
                </c:pt>
                <c:pt idx="13">
                  <c:v>45</c:v>
                </c:pt>
                <c:pt idx="14">
                  <c:v>46</c:v>
                </c:pt>
                <c:pt idx="15">
                  <c:v>57</c:v>
                </c:pt>
                <c:pt idx="16">
                  <c:v>60</c:v>
                </c:pt>
                <c:pt idx="17">
                  <c:v>53</c:v>
                </c:pt>
                <c:pt idx="18">
                  <c:v>52</c:v>
                </c:pt>
                <c:pt idx="19">
                  <c:v>56</c:v>
                </c:pt>
                <c:pt idx="20">
                  <c:v>59</c:v>
                </c:pt>
                <c:pt idx="21">
                  <c:v>62.000000000000021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DC-45FA-B1C9-7F78B5E3B63B}"/>
            </c:ext>
          </c:extLst>
        </c:ser>
        <c:ser>
          <c:idx val="2"/>
          <c:order val="2"/>
          <c:tx>
            <c:strRef>
              <c:f>'10.13 Clientes'!$U$42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rgbClr val="0070C0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6350" h="88900"/>
            </a:sp3d>
          </c:spPr>
          <c:invertIfNegative val="0"/>
          <c:cat>
            <c:numRef>
              <c:f>'10.13 Clientes'!$R$43:$R$64</c:f>
              <c:numCache>
                <c:formatCode>#,##0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'10.13 Clientes'!$U$43:$U$64</c:f>
              <c:numCache>
                <c:formatCode>#,##0</c:formatCode>
                <c:ptCount val="22"/>
                <c:pt idx="0">
                  <c:v>163</c:v>
                </c:pt>
                <c:pt idx="1">
                  <c:v>168</c:v>
                </c:pt>
                <c:pt idx="2">
                  <c:v>174</c:v>
                </c:pt>
                <c:pt idx="3">
                  <c:v>180</c:v>
                </c:pt>
                <c:pt idx="4">
                  <c:v>188</c:v>
                </c:pt>
                <c:pt idx="5">
                  <c:v>175</c:v>
                </c:pt>
                <c:pt idx="6">
                  <c:v>175</c:v>
                </c:pt>
                <c:pt idx="7">
                  <c:v>172</c:v>
                </c:pt>
                <c:pt idx="8">
                  <c:v>163</c:v>
                </c:pt>
                <c:pt idx="9">
                  <c:v>173</c:v>
                </c:pt>
                <c:pt idx="10">
                  <c:v>180</c:v>
                </c:pt>
                <c:pt idx="11">
                  <c:v>187</c:v>
                </c:pt>
                <c:pt idx="12">
                  <c:v>171</c:v>
                </c:pt>
                <c:pt idx="13">
                  <c:v>168</c:v>
                </c:pt>
                <c:pt idx="14">
                  <c:v>164</c:v>
                </c:pt>
                <c:pt idx="15">
                  <c:v>166</c:v>
                </c:pt>
                <c:pt idx="16">
                  <c:v>172.00000000000003</c:v>
                </c:pt>
                <c:pt idx="17">
                  <c:v>232</c:v>
                </c:pt>
                <c:pt idx="18">
                  <c:v>810</c:v>
                </c:pt>
                <c:pt idx="19">
                  <c:v>1225</c:v>
                </c:pt>
                <c:pt idx="20">
                  <c:v>1588</c:v>
                </c:pt>
                <c:pt idx="21">
                  <c:v>1953.0000000000032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8DC-45FA-B1C9-7F78B5E3B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7895040"/>
        <c:axId val="429311104"/>
        <c:axId val="0"/>
      </c:bar3DChart>
      <c:catAx>
        <c:axId val="4278950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es-PE"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2931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3111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</a:t>
                </a:r>
                <a:r>
                  <a:rPr lang="es-PE" sz="10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s-PE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de Clientes</a:t>
                </a:r>
              </a:p>
            </c:rich>
          </c:tx>
          <c:layout>
            <c:manualLayout>
              <c:xMode val="edge"/>
              <c:yMode val="edge"/>
              <c:x val="1.2098093569837248E-2"/>
              <c:y val="0.306191381249757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27895040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815949842122866"/>
          <c:y val="0.89179240525968728"/>
          <c:w val="0.29557320453733776"/>
          <c:h val="6.34441384482111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  <a:scene3d>
      <a:camera prst="orthographicFront"/>
      <a:lightRig rig="threePt" dir="t"/>
    </a:scene3d>
    <a:sp3d prstMaterial="plastic">
      <a:bevelT w="0" h="0"/>
    </a:sp3d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DEL NÚMERO DE CLIENTES EN EL MERCADO REGULADO </a:t>
            </a:r>
          </a:p>
        </c:rich>
      </c:tx>
      <c:layout>
        <c:manualLayout>
          <c:xMode val="edge"/>
          <c:yMode val="edge"/>
          <c:x val="0.22997437618032374"/>
          <c:y val="3.1152836664647687E-2"/>
        </c:manualLayout>
      </c:layout>
      <c:overlay val="0"/>
      <c:spPr>
        <a:solidFill>
          <a:srgbClr val="3798AF"/>
        </a:solidFill>
        <a:ln w="3175">
          <a:noFill/>
          <a:prstDash val="solid"/>
        </a:ln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0"/>
      <c:rotY val="0"/>
      <c:depthPercent val="100"/>
      <c:rAngAx val="1"/>
    </c:view3D>
    <c:floor>
      <c:thickness val="0"/>
      <c:spPr>
        <a:solidFill>
          <a:srgbClr val="969696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135695821193871"/>
          <c:y val="0.16178429396296104"/>
          <c:w val="0.88094035171169949"/>
          <c:h val="0.64174650064039573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'10.13 Clientes'!$AB$42</c:f>
              <c:strCache>
                <c:ptCount val="1"/>
                <c:pt idx="0">
                  <c:v>BT</c:v>
                </c:pt>
              </c:strCache>
            </c:strRef>
          </c:tx>
          <c:spPr>
            <a:solidFill>
              <a:srgbClr val="0070C0"/>
            </a:solidFill>
            <a:ln w="12700">
              <a:noFill/>
              <a:prstDash val="solid"/>
            </a:ln>
          </c:spPr>
          <c:invertIfNegative val="0"/>
          <c:cat>
            <c:numRef>
              <c:f>'10.13 Clientes'!$R$43:$R$64</c:f>
              <c:numCache>
                <c:formatCode>#,##0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'10.13 Clientes'!$AB$43:$AB$64</c:f>
              <c:numCache>
                <c:formatCode>#,##0</c:formatCode>
                <c:ptCount val="22"/>
                <c:pt idx="0">
                  <c:v>3051717</c:v>
                </c:pt>
                <c:pt idx="1">
                  <c:v>3211041</c:v>
                </c:pt>
                <c:pt idx="2">
                  <c:v>3345712</c:v>
                </c:pt>
                <c:pt idx="3">
                  <c:v>3455849</c:v>
                </c:pt>
                <c:pt idx="4">
                  <c:v>3607046</c:v>
                </c:pt>
                <c:pt idx="5">
                  <c:v>3719409</c:v>
                </c:pt>
                <c:pt idx="6">
                  <c:v>3852131</c:v>
                </c:pt>
                <c:pt idx="7">
                  <c:v>3968111</c:v>
                </c:pt>
                <c:pt idx="8">
                  <c:v>4155561</c:v>
                </c:pt>
                <c:pt idx="9">
                  <c:v>4349273</c:v>
                </c:pt>
                <c:pt idx="10">
                  <c:v>4613088</c:v>
                </c:pt>
                <c:pt idx="11">
                  <c:v>4866305</c:v>
                </c:pt>
                <c:pt idx="12">
                  <c:v>5157284</c:v>
                </c:pt>
                <c:pt idx="13">
                  <c:v>5480527</c:v>
                </c:pt>
                <c:pt idx="14">
                  <c:v>5818719</c:v>
                </c:pt>
                <c:pt idx="15">
                  <c:v>6139072</c:v>
                </c:pt>
                <c:pt idx="16">
                  <c:v>6414727</c:v>
                </c:pt>
                <c:pt idx="17">
                  <c:v>6662868</c:v>
                </c:pt>
                <c:pt idx="18">
                  <c:v>6916853</c:v>
                </c:pt>
                <c:pt idx="19">
                  <c:v>7147546</c:v>
                </c:pt>
                <c:pt idx="20">
                  <c:v>7356035.9999999925</c:v>
                </c:pt>
                <c:pt idx="21">
                  <c:v>7544567.9999999637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18-42AE-A27C-702E4FED3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5"/>
        <c:gapDepth val="127"/>
        <c:shape val="box"/>
        <c:axId val="438990336"/>
        <c:axId val="438992256"/>
        <c:axId val="0"/>
      </c:bar3DChart>
      <c:catAx>
        <c:axId val="438990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3899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9922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-534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</a:t>
                </a:r>
                <a:r>
                  <a:rPr lang="es-PE" sz="1025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s-PE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de Clientes</a:t>
                </a:r>
              </a:p>
            </c:rich>
          </c:tx>
          <c:layout>
            <c:manualLayout>
              <c:xMode val="edge"/>
              <c:yMode val="edge"/>
              <c:x val="2.372794015634777E-3"/>
              <c:y val="0.293578033515041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3899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PORCENTAJE DE PÉRDIDAS DE ENERGÍA ELÉCTRICA EN  DISTRIBUCIÓN (%)</a:t>
            </a:r>
          </a:p>
        </c:rich>
      </c:tx>
      <c:layout>
        <c:manualLayout>
          <c:xMode val="edge"/>
          <c:yMode val="edge"/>
          <c:x val="0.22060337720400813"/>
          <c:y val="1.8660652855286293E-2"/>
        </c:manualLayout>
      </c:layout>
      <c:overlay val="0"/>
      <c:spPr>
        <a:solidFill>
          <a:srgbClr val="3798A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50421219895429E-2"/>
          <c:y val="0.10195780139133094"/>
          <c:w val="0.91851444161362572"/>
          <c:h val="0.79464388553372578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5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31750"/>
              </a:sp3d>
            </c:spPr>
          </c:marker>
          <c:dLbls>
            <c:dLbl>
              <c:idx val="23"/>
              <c:layout>
                <c:manualLayout>
                  <c:x val="1.2769409829777284E-2"/>
                  <c:y val="-9.99665731438743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9.83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F78-4049-B83A-02D3A2BD2F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'10.15 Perd y MD'!$B$38:$B$63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'10.15 Perd y MD'!$C$38:$C$63</c:f>
              <c:numCache>
                <c:formatCode>0.00</c:formatCode>
                <c:ptCount val="26"/>
                <c:pt idx="0">
                  <c:v>19.7</c:v>
                </c:pt>
                <c:pt idx="1">
                  <c:v>17</c:v>
                </c:pt>
                <c:pt idx="2">
                  <c:v>14.5</c:v>
                </c:pt>
                <c:pt idx="3">
                  <c:v>12.4</c:v>
                </c:pt>
                <c:pt idx="4">
                  <c:v>11.3</c:v>
                </c:pt>
                <c:pt idx="5">
                  <c:v>10.4</c:v>
                </c:pt>
                <c:pt idx="6">
                  <c:v>9.6999999999999993</c:v>
                </c:pt>
                <c:pt idx="7">
                  <c:v>9.1</c:v>
                </c:pt>
                <c:pt idx="8">
                  <c:v>9.07</c:v>
                </c:pt>
                <c:pt idx="9">
                  <c:v>8.6999999999999993</c:v>
                </c:pt>
                <c:pt idx="10">
                  <c:v>8.4</c:v>
                </c:pt>
                <c:pt idx="11">
                  <c:v>8.5519999999999996</c:v>
                </c:pt>
                <c:pt idx="12">
                  <c:v>8.1739999999999995</c:v>
                </c:pt>
                <c:pt idx="13">
                  <c:v>8.0039999999999996</c:v>
                </c:pt>
                <c:pt idx="14">
                  <c:v>7.85</c:v>
                </c:pt>
                <c:pt idx="15">
                  <c:v>7.81</c:v>
                </c:pt>
                <c:pt idx="16">
                  <c:v>7.5990000000000002</c:v>
                </c:pt>
                <c:pt idx="17">
                  <c:v>7.7190000000000003</c:v>
                </c:pt>
                <c:pt idx="18">
                  <c:v>7.468</c:v>
                </c:pt>
                <c:pt idx="19">
                  <c:v>7.468</c:v>
                </c:pt>
                <c:pt idx="20">
                  <c:v>7.6669999999999998</c:v>
                </c:pt>
                <c:pt idx="21">
                  <c:v>8.0868298841374706</c:v>
                </c:pt>
                <c:pt idx="22">
                  <c:v>8.3132160624575295</c:v>
                </c:pt>
                <c:pt idx="23">
                  <c:v>8.3628766338051097</c:v>
                </c:pt>
                <c:pt idx="24">
                  <c:v>9.8285884259999996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78-4049-B83A-02D3A2BD2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485824"/>
        <c:axId val="467493248"/>
      </c:lineChart>
      <c:catAx>
        <c:axId val="4674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PE"/>
          </a:p>
        </c:txPr>
        <c:crossAx val="4674932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67493248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(%)</a:t>
                </a:r>
              </a:p>
            </c:rich>
          </c:tx>
          <c:layout>
            <c:manualLayout>
              <c:xMode val="edge"/>
              <c:yMode val="edge"/>
              <c:x val="6.0127962892383043E-3"/>
              <c:y val="0.464409193996381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67485824"/>
        <c:crosses val="autoZero"/>
        <c:crossBetween val="midCat"/>
        <c:majorUnit val="5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LA MÁXIMA DEMANDA</a:t>
            </a:r>
          </a:p>
        </c:rich>
      </c:tx>
      <c:layout>
        <c:manualLayout>
          <c:xMode val="edge"/>
          <c:yMode val="edge"/>
          <c:x val="0.34938170101330762"/>
          <c:y val="1.8456104201928031E-2"/>
        </c:manualLayout>
      </c:layout>
      <c:overlay val="0"/>
      <c:spPr>
        <a:solidFill>
          <a:srgbClr val="3798A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327500729075512E-2"/>
          <c:y val="9.6894413548408817E-2"/>
          <c:w val="0.90024894615445794"/>
          <c:h val="0.77220064034358338"/>
        </c:manualLayout>
      </c:layout>
      <c:lineChart>
        <c:grouping val="standard"/>
        <c:varyColors val="0"/>
        <c:ser>
          <c:idx val="1"/>
          <c:order val="0"/>
          <c:tx>
            <c:strRef>
              <c:f>'10.15 Perd y MD'!$B$67:$D$67</c:f>
              <c:strCache>
                <c:ptCount val="1"/>
                <c:pt idx="0">
                  <c:v>Año Máxima Demanda (MW) </c:v>
                </c:pt>
              </c:strCache>
            </c:strRef>
          </c:tx>
          <c:spPr>
            <a:ln w="12700">
              <a:solidFill>
                <a:srgbClr val="92D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</c:spPr>
          </c:marker>
          <c:dLbls>
            <c:dLbl>
              <c:idx val="23"/>
              <c:layout>
                <c:manualLayout>
                  <c:x val="3.6408271742460157E-3"/>
                  <c:y val="-5.2458347208645305E-2"/>
                </c:manualLayout>
              </c:layout>
              <c:tx>
                <c:rich>
                  <a:bodyPr/>
                  <a:lstStyle/>
                  <a:p>
                    <a:pPr>
                      <a:defRPr sz="1000"/>
                    </a:pPr>
                    <a:r>
                      <a:rPr lang="en-US"/>
                      <a:t>7,018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EBD-463A-804E-DE22C90711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'10.15 Perd y MD'!$B$69:$B$93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1997*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'10.15 Perd y MD'!$T$69:$T$94</c:f>
              <c:numCache>
                <c:formatCode>#,##0</c:formatCode>
                <c:ptCount val="26"/>
                <c:pt idx="0">
                  <c:v>2052.1</c:v>
                </c:pt>
                <c:pt idx="1">
                  <c:v>2024.93</c:v>
                </c:pt>
                <c:pt idx="2">
                  <c:v>2400.9</c:v>
                </c:pt>
                <c:pt idx="3">
                  <c:v>2520.6</c:v>
                </c:pt>
                <c:pt idx="4">
                  <c:v>2580.3000000000002</c:v>
                </c:pt>
                <c:pt idx="5">
                  <c:v>2620.6999999999998</c:v>
                </c:pt>
                <c:pt idx="6">
                  <c:v>2792.22</c:v>
                </c:pt>
                <c:pt idx="7">
                  <c:v>2908.2</c:v>
                </c:pt>
                <c:pt idx="8">
                  <c:v>2964.7548999999999</c:v>
                </c:pt>
                <c:pt idx="9">
                  <c:v>3130.8466199999993</c:v>
                </c:pt>
                <c:pt idx="10">
                  <c:v>3305.0140500000002</c:v>
                </c:pt>
                <c:pt idx="11">
                  <c:v>3580</c:v>
                </c:pt>
                <c:pt idx="12">
                  <c:v>3965.6038100000005</c:v>
                </c:pt>
                <c:pt idx="13">
                  <c:v>4198.6589700000004</c:v>
                </c:pt>
                <c:pt idx="14">
                  <c:v>4322.3748300000007</c:v>
                </c:pt>
                <c:pt idx="15">
                  <c:v>4578.9431199999999</c:v>
                </c:pt>
                <c:pt idx="16">
                  <c:v>4961.1929899999996</c:v>
                </c:pt>
                <c:pt idx="17">
                  <c:v>5291</c:v>
                </c:pt>
                <c:pt idx="18">
                  <c:v>5575.2435699999996</c:v>
                </c:pt>
                <c:pt idx="19">
                  <c:v>5737.27</c:v>
                </c:pt>
                <c:pt idx="20">
                  <c:v>6275</c:v>
                </c:pt>
                <c:pt idx="21">
                  <c:v>6492.4099800000004</c:v>
                </c:pt>
                <c:pt idx="22">
                  <c:v>6559.0633399999997</c:v>
                </c:pt>
                <c:pt idx="23">
                  <c:v>6884.5910000000003</c:v>
                </c:pt>
                <c:pt idx="24">
                  <c:v>7017.5709999999999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BD-463A-804E-DE22C907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891968"/>
        <c:axId val="471893888"/>
      </c:lineChart>
      <c:catAx>
        <c:axId val="47189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718938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7189388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4.9505533212651932E-3"/>
              <c:y val="0.45553756714990068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71891968"/>
        <c:crosses val="autoZero"/>
        <c:crossBetween val="midCat"/>
        <c:majorUnit val="500"/>
        <c:minorUnit val="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NÚMERO DE TRABAJADORES POR ACTIVIDAD</a:t>
            </a:r>
          </a:p>
        </c:rich>
      </c:tx>
      <c:overlay val="0"/>
      <c:spPr>
        <a:solidFill>
          <a:srgbClr val="008080"/>
        </a:solidFill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'10.15 Perd y MD'!$C$5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'10.15 Perd y MD'!$B$7:$B$28</c:f>
            </c:multiLvlStrRef>
          </c:cat>
          <c:val>
            <c:numRef>
              <c:f>'10.15 Perd y MD'!$C$7:$C$28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7F-43D3-B88A-C372D92738A5}"/>
            </c:ext>
          </c:extLst>
        </c:ser>
        <c:ser>
          <c:idx val="1"/>
          <c:order val="1"/>
          <c:tx>
            <c:strRef>
              <c:f>'10.15 Perd y MD'!$D$5</c:f>
              <c:strCache>
                <c:ptCount val="1"/>
                <c:pt idx="0">
                  <c:v>Generadoras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'10.15 Perd y MD'!$B$7:$B$28</c:f>
            </c:multiLvlStrRef>
          </c:cat>
          <c:val>
            <c:numRef>
              <c:f>'10.15 Perd y MD'!$D$7:$D$28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7F-43D3-B88A-C372D92738A5}"/>
            </c:ext>
          </c:extLst>
        </c:ser>
        <c:ser>
          <c:idx val="2"/>
          <c:order val="2"/>
          <c:tx>
            <c:strRef>
              <c:f>'10.15 Perd y MD'!$E$5</c:f>
              <c:strCache>
                <c:ptCount val="1"/>
                <c:pt idx="0">
                  <c:v>Transmisoras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'10.15 Perd y MD'!$B$7:$B$28</c:f>
            </c:multiLvlStrRef>
          </c:cat>
          <c:val>
            <c:numRef>
              <c:f>'10.15 Perd y MD'!$E$7:$E$28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F7F-43D3-B88A-C372D92738A5}"/>
            </c:ext>
          </c:extLst>
        </c:ser>
        <c:ser>
          <c:idx val="3"/>
          <c:order val="3"/>
          <c:tx>
            <c:strRef>
              <c:f>'10.15 Perd y MD'!$F$5</c:f>
              <c:strCache>
                <c:ptCount val="1"/>
                <c:pt idx="0">
                  <c:v>Distribuidoras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multiLvlStrRef>
              <c:f>'10.15 Perd y MD'!$B$7:$B$28</c:f>
            </c:multiLvlStrRef>
          </c:cat>
          <c:val>
            <c:numRef>
              <c:f>'10.15 Perd y MD'!$F$7:$F$28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F7F-43D3-B88A-C372D9273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818624"/>
        <c:axId val="553656704"/>
      </c:lineChart>
      <c:catAx>
        <c:axId val="53781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5365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365670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\ ##0" sourceLinked="0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37818624"/>
        <c:crosses val="autoZero"/>
        <c:crossBetween val="between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LAS INVERSIONES EJECUTADAS EN EL SECTOR ELÉCTRICO POR EMPRESA ESTATAL* Y PRIVADA  1995 - 2019  </a:t>
            </a:r>
          </a:p>
        </c:rich>
      </c:tx>
      <c:layout>
        <c:manualLayout>
          <c:xMode val="edge"/>
          <c:yMode val="edge"/>
          <c:x val="0.23529044091163484"/>
          <c:y val="3.3878760979512215E-2"/>
        </c:manualLayout>
      </c:layout>
      <c:overlay val="0"/>
      <c:spPr>
        <a:solidFill>
          <a:srgbClr val="3798AF"/>
        </a:solidFill>
        <a:scene3d>
          <a:camera prst="orthographicFront"/>
          <a:lightRig rig="sof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5.7842198571883531E-2"/>
          <c:y val="0.14529994135931326"/>
          <c:w val="0.92951910775834923"/>
          <c:h val="0.694442942785491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'10.17.1Inversiones'!$T$7</c:f>
              <c:strCache>
                <c:ptCount val="1"/>
                <c:pt idx="0">
                  <c:v>Estatal (*)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'10.17.1Inversiones'!$R$9:$R$34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'10.17.1Inversiones'!$T$9:$T$34</c:f>
              <c:numCache>
                <c:formatCode>#\ ##0.00</c:formatCode>
                <c:ptCount val="26"/>
                <c:pt idx="0">
                  <c:v>154.712999</c:v>
                </c:pt>
                <c:pt idx="1">
                  <c:v>176.97620699999999</c:v>
                </c:pt>
                <c:pt idx="2">
                  <c:v>207.88996599999999</c:v>
                </c:pt>
                <c:pt idx="3">
                  <c:v>202.79134299999998</c:v>
                </c:pt>
                <c:pt idx="4">
                  <c:v>201.72455901183432</c:v>
                </c:pt>
                <c:pt idx="5">
                  <c:v>165.994</c:v>
                </c:pt>
                <c:pt idx="6">
                  <c:v>95.058679999999995</c:v>
                </c:pt>
                <c:pt idx="7">
                  <c:v>109.85599999999999</c:v>
                </c:pt>
                <c:pt idx="8">
                  <c:v>110.83199999999999</c:v>
                </c:pt>
                <c:pt idx="9">
                  <c:v>116.143</c:v>
                </c:pt>
                <c:pt idx="10">
                  <c:v>117.43026999999999</c:v>
                </c:pt>
                <c:pt idx="11">
                  <c:v>95.745000000000005</c:v>
                </c:pt>
                <c:pt idx="12">
                  <c:v>139.72556</c:v>
                </c:pt>
                <c:pt idx="13">
                  <c:v>128.88</c:v>
                </c:pt>
                <c:pt idx="14">
                  <c:v>250.28899999999999</c:v>
                </c:pt>
                <c:pt idx="15">
                  <c:v>165.61058222614841</c:v>
                </c:pt>
                <c:pt idx="16">
                  <c:v>107</c:v>
                </c:pt>
                <c:pt idx="17">
                  <c:v>121.623</c:v>
                </c:pt>
                <c:pt idx="18">
                  <c:v>209.3229</c:v>
                </c:pt>
                <c:pt idx="19">
                  <c:v>178.33149350396769</c:v>
                </c:pt>
                <c:pt idx="20">
                  <c:v>122.07089438088975</c:v>
                </c:pt>
                <c:pt idx="21">
                  <c:v>127</c:v>
                </c:pt>
                <c:pt idx="22">
                  <c:v>52</c:v>
                </c:pt>
                <c:pt idx="23">
                  <c:v>52</c:v>
                </c:pt>
                <c:pt idx="24">
                  <c:v>78.454342463223497</c:v>
                </c:pt>
                <c:pt idx="25">
                  <c:v>170.00447599202266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D4-4754-812D-DD63AA384A40}"/>
            </c:ext>
          </c:extLst>
        </c:ser>
        <c:ser>
          <c:idx val="1"/>
          <c:order val="1"/>
          <c:tx>
            <c:strRef>
              <c:f>'10.17.1Inversiones'!$U$7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'10.17.1Inversiones'!$R$9:$R$34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'10.17.1Inversiones'!$U$9:$U$34</c:f>
              <c:numCache>
                <c:formatCode>#\ ##0.00</c:formatCode>
                <c:ptCount val="26"/>
                <c:pt idx="0">
                  <c:v>66.165630000000007</c:v>
                </c:pt>
                <c:pt idx="1">
                  <c:v>195.92117000000002</c:v>
                </c:pt>
                <c:pt idx="2">
                  <c:v>339.73591500000003</c:v>
                </c:pt>
                <c:pt idx="3">
                  <c:v>358.72008800000003</c:v>
                </c:pt>
                <c:pt idx="4">
                  <c:v>507.81466899999998</c:v>
                </c:pt>
                <c:pt idx="5">
                  <c:v>439.80900000000003</c:v>
                </c:pt>
                <c:pt idx="6">
                  <c:v>210.83829</c:v>
                </c:pt>
                <c:pt idx="7">
                  <c:v>132.34300000000002</c:v>
                </c:pt>
                <c:pt idx="8">
                  <c:v>81.125</c:v>
                </c:pt>
                <c:pt idx="9">
                  <c:v>168.55199999999999</c:v>
                </c:pt>
                <c:pt idx="10">
                  <c:v>231.06162000000003</c:v>
                </c:pt>
                <c:pt idx="11">
                  <c:v>350.459</c:v>
                </c:pt>
                <c:pt idx="12">
                  <c:v>399.34757000000002</c:v>
                </c:pt>
                <c:pt idx="13">
                  <c:v>633.64</c:v>
                </c:pt>
                <c:pt idx="14">
                  <c:v>741.83071999999993</c:v>
                </c:pt>
                <c:pt idx="15">
                  <c:v>978.75120000000004</c:v>
                </c:pt>
                <c:pt idx="16">
                  <c:v>1641.7</c:v>
                </c:pt>
                <c:pt idx="17">
                  <c:v>2467.42086045</c:v>
                </c:pt>
                <c:pt idx="18">
                  <c:v>2230.2925</c:v>
                </c:pt>
                <c:pt idx="19">
                  <c:v>2488.2811065848164</c:v>
                </c:pt>
                <c:pt idx="20">
                  <c:v>2364.2373654698185</c:v>
                </c:pt>
                <c:pt idx="21">
                  <c:v>1601.9</c:v>
                </c:pt>
                <c:pt idx="22">
                  <c:v>1365.25</c:v>
                </c:pt>
                <c:pt idx="23">
                  <c:v>1365.25</c:v>
                </c:pt>
                <c:pt idx="24">
                  <c:v>580.74200391718</c:v>
                </c:pt>
                <c:pt idx="25">
                  <c:v>448.37901411371558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D4-4754-812D-DD63AA384A40}"/>
            </c:ext>
          </c:extLst>
        </c:ser>
        <c:ser>
          <c:idx val="2"/>
          <c:order val="2"/>
          <c:tx>
            <c:strRef>
              <c:f>'10.17.1Inversiones'!$S$7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'10.17.1Inversiones'!$R$9:$R$34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'10.17.1Inversiones'!$S$9:$S$34</c:f>
              <c:numCache>
                <c:formatCode>#\ ##0.0</c:formatCode>
                <c:ptCount val="26"/>
                <c:pt idx="0">
                  <c:v>220.87862899999999</c:v>
                </c:pt>
                <c:pt idx="1">
                  <c:v>372.89737700000001</c:v>
                </c:pt>
                <c:pt idx="2">
                  <c:v>547.62588100000005</c:v>
                </c:pt>
                <c:pt idx="3">
                  <c:v>561.51143100000002</c:v>
                </c:pt>
                <c:pt idx="4">
                  <c:v>709.53922801183433</c:v>
                </c:pt>
                <c:pt idx="5">
                  <c:v>605.803</c:v>
                </c:pt>
                <c:pt idx="6">
                  <c:v>305.89697000000001</c:v>
                </c:pt>
                <c:pt idx="7">
                  <c:v>242.19900000000001</c:v>
                </c:pt>
                <c:pt idx="8">
                  <c:v>191.95699999999999</c:v>
                </c:pt>
                <c:pt idx="9">
                  <c:v>284.69499999999999</c:v>
                </c:pt>
                <c:pt idx="10">
                  <c:v>348.49189000000001</c:v>
                </c:pt>
                <c:pt idx="11">
                  <c:v>446.20400000000001</c:v>
                </c:pt>
                <c:pt idx="12">
                  <c:v>539.07312999999999</c:v>
                </c:pt>
                <c:pt idx="13">
                  <c:v>762.52</c:v>
                </c:pt>
                <c:pt idx="14">
                  <c:v>992.11971999999992</c:v>
                </c:pt>
                <c:pt idx="15">
                  <c:v>1144.3617822261485</c:v>
                </c:pt>
                <c:pt idx="16">
                  <c:v>1748.7</c:v>
                </c:pt>
                <c:pt idx="17">
                  <c:v>2589.04386045</c:v>
                </c:pt>
                <c:pt idx="18">
                  <c:v>2439.6154000000001</c:v>
                </c:pt>
                <c:pt idx="19">
                  <c:v>2666.6126000887839</c:v>
                </c:pt>
                <c:pt idx="20">
                  <c:v>2486.3082598507085</c:v>
                </c:pt>
                <c:pt idx="21">
                  <c:v>1728.9</c:v>
                </c:pt>
                <c:pt idx="22">
                  <c:v>1417.25</c:v>
                </c:pt>
                <c:pt idx="23">
                  <c:v>1417.25</c:v>
                </c:pt>
                <c:pt idx="24">
                  <c:v>659.1963463804035</c:v>
                </c:pt>
                <c:pt idx="25">
                  <c:v>618.38349010573825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D4-4754-812D-DD63AA384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9740416"/>
        <c:axId val="579742336"/>
      </c:barChart>
      <c:catAx>
        <c:axId val="57974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7974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9742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US $</a:t>
                </a:r>
              </a:p>
            </c:rich>
          </c:tx>
          <c:layout>
            <c:manualLayout>
              <c:xMode val="edge"/>
              <c:yMode val="edge"/>
              <c:x val="8.8981734426053886E-3"/>
              <c:y val="0.40961583351141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79740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07010330605229"/>
          <c:y val="0.92006180855785513"/>
          <c:w val="0.30717712010136661"/>
          <c:h val="5.9770409700875105E-2"/>
        </c:manualLayout>
      </c:layout>
      <c:overlay val="0"/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/>
              <a:t>EVOLUCIÓN DE LAS INVERSIONES  EJECUTADAS EN EL SECTOR ELÉCTRICO 1995-2019  </a:t>
            </a:r>
          </a:p>
        </c:rich>
      </c:tx>
      <c:layout>
        <c:manualLayout>
          <c:xMode val="edge"/>
          <c:yMode val="edge"/>
          <c:x val="0.290555892995844"/>
          <c:y val="2.658865677796822E-2"/>
        </c:manualLayout>
      </c:layout>
      <c:overlay val="0"/>
      <c:spPr>
        <a:solidFill>
          <a:srgbClr val="3798AF"/>
        </a:solidFill>
      </c:spPr>
    </c:title>
    <c:autoTitleDeleted val="0"/>
    <c:plotArea>
      <c:layout>
        <c:manualLayout>
          <c:layoutTarget val="inner"/>
          <c:xMode val="edge"/>
          <c:yMode val="edge"/>
          <c:x val="7.446898939713556E-2"/>
          <c:y val="0.14988730010619394"/>
          <c:w val="0.87673507726313882"/>
          <c:h val="0.70121945099247263"/>
        </c:manualLayout>
      </c:layout>
      <c:lineChart>
        <c:grouping val="standard"/>
        <c:varyColors val="0"/>
        <c:ser>
          <c:idx val="0"/>
          <c:order val="0"/>
          <c:tx>
            <c:strRef>
              <c:f>'10.17.1Inversiones'!$S$97</c:f>
              <c:strCache>
                <c:ptCount val="1"/>
                <c:pt idx="0">
                  <c:v>Generadoras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1.5453773761031219E-3"/>
                  <c:y val="-1.4862521218478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C2-4286-B0E8-4BD006497C6E}"/>
                </c:ext>
              </c:extLst>
            </c:dLbl>
            <c:dLbl>
              <c:idx val="2"/>
              <c:layout>
                <c:manualLayout>
                  <c:x val="7.8950494145545093E-4"/>
                  <c:y val="1.5857844454474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C2-4286-B0E8-4BD006497C6E}"/>
                </c:ext>
              </c:extLst>
            </c:dLbl>
            <c:dLbl>
              <c:idx val="3"/>
              <c:layout>
                <c:manualLayout>
                  <c:x val="-1.8106963463702167E-2"/>
                  <c:y val="-3.1186356195215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C2-4286-B0E8-4BD006497C6E}"/>
                </c:ext>
              </c:extLst>
            </c:dLbl>
            <c:dLbl>
              <c:idx val="6"/>
              <c:layout>
                <c:manualLayout>
                  <c:x val="-6.5239372759786926E-3"/>
                  <c:y val="1.2697161340953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C2-4286-B0E8-4BD006497C6E}"/>
                </c:ext>
              </c:extLst>
            </c:dLbl>
            <c:dLbl>
              <c:idx val="7"/>
              <c:layout>
                <c:manualLayout>
                  <c:x val="-7.524876118079454E-3"/>
                  <c:y val="-2.5470707652608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C2-4286-B0E8-4BD006497C6E}"/>
                </c:ext>
              </c:extLst>
            </c:dLbl>
            <c:dLbl>
              <c:idx val="9"/>
              <c:layout>
                <c:manualLayout>
                  <c:x val="-1.9618625402421253E-2"/>
                  <c:y val="-5.7365172491346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C2-4286-B0E8-4BD006497C6E}"/>
                </c:ext>
              </c:extLst>
            </c:dLbl>
            <c:dLbl>
              <c:idx val="12"/>
              <c:layout>
                <c:manualLayout>
                  <c:x val="-1.2060061802960324E-2"/>
                  <c:y val="-3.1023662215017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C2-4286-B0E8-4BD006497C6E}"/>
                </c:ext>
              </c:extLst>
            </c:dLbl>
            <c:dLbl>
              <c:idx val="13"/>
              <c:layout>
                <c:manualLayout>
                  <c:x val="-1.465319472876964E-2"/>
                  <c:y val="-3.9678541047164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C2-4286-B0E8-4BD006497C6E}"/>
                </c:ext>
              </c:extLst>
            </c:dLbl>
            <c:dLbl>
              <c:idx val="17"/>
              <c:layout>
                <c:manualLayout>
                  <c:x val="-2.5348542458808626E-3"/>
                  <c:y val="-2.14621059691482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EC2-4286-B0E8-4BD006497C6E}"/>
                </c:ext>
              </c:extLst>
            </c:dLbl>
            <c:dLbl>
              <c:idx val="18"/>
              <c:layout>
                <c:manualLayout>
                  <c:x val="-1.4211886304909559E-2"/>
                  <c:y val="-2.9510395707578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C2-4286-B0E8-4BD006497C6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'10.17.1Inversiones'!$R$98:$R$122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'10.17.1Inversiones'!$S$98:$S$122</c:f>
              <c:numCache>
                <c:formatCode>#,##0</c:formatCode>
                <c:ptCount val="25"/>
                <c:pt idx="0">
                  <c:v>46.066738999999991</c:v>
                </c:pt>
                <c:pt idx="1">
                  <c:v>163.01889699999998</c:v>
                </c:pt>
                <c:pt idx="2">
                  <c:v>343.44413100000003</c:v>
                </c:pt>
                <c:pt idx="3">
                  <c:v>365.36324100000002</c:v>
                </c:pt>
                <c:pt idx="4">
                  <c:v>417.232328</c:v>
                </c:pt>
                <c:pt idx="5">
                  <c:v>337.65800000000002</c:v>
                </c:pt>
                <c:pt idx="6">
                  <c:v>109.77217999999999</c:v>
                </c:pt>
                <c:pt idx="7">
                  <c:v>107.84</c:v>
                </c:pt>
                <c:pt idx="8">
                  <c:v>87.165000000000006</c:v>
                </c:pt>
                <c:pt idx="9">
                  <c:v>159.566</c:v>
                </c:pt>
                <c:pt idx="10">
                  <c:v>193.49135000000001</c:v>
                </c:pt>
                <c:pt idx="11">
                  <c:v>289.57499999999999</c:v>
                </c:pt>
                <c:pt idx="12">
                  <c:v>318.03030000000001</c:v>
                </c:pt>
                <c:pt idx="13">
                  <c:v>483.51</c:v>
                </c:pt>
                <c:pt idx="14">
                  <c:v>448.38329999999996</c:v>
                </c:pt>
                <c:pt idx="15">
                  <c:v>558.63338222614846</c:v>
                </c:pt>
                <c:pt idx="16">
                  <c:v>1240.8</c:v>
                </c:pt>
                <c:pt idx="17">
                  <c:v>1781.40966045</c:v>
                </c:pt>
                <c:pt idx="18">
                  <c:v>1829.8335</c:v>
                </c:pt>
                <c:pt idx="19">
                  <c:v>2021.3049047048166</c:v>
                </c:pt>
                <c:pt idx="20">
                  <c:v>1773.8894952016162</c:v>
                </c:pt>
                <c:pt idx="21">
                  <c:v>965.9</c:v>
                </c:pt>
                <c:pt idx="22">
                  <c:v>855.91</c:v>
                </c:pt>
                <c:pt idx="23">
                  <c:v>270.7029896800878</c:v>
                </c:pt>
                <c:pt idx="24">
                  <c:v>197.33050129443214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EC2-4286-B0E8-4BD006497C6E}"/>
            </c:ext>
          </c:extLst>
        </c:ser>
        <c:ser>
          <c:idx val="1"/>
          <c:order val="1"/>
          <c:tx>
            <c:strRef>
              <c:f>'10.17.1Inversiones'!$T$97</c:f>
              <c:strCache>
                <c:ptCount val="1"/>
                <c:pt idx="0">
                  <c:v>Transmisoras</c:v>
                </c:pt>
              </c:strCache>
            </c:strRef>
          </c:tx>
          <c:spPr>
            <a:ln w="31750">
              <a:solidFill>
                <a:srgbClr val="FF00FF"/>
              </a:solidFill>
            </a:ln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dLbl>
              <c:idx val="0"/>
              <c:layout>
                <c:manualLayout>
                  <c:x val="-7.2219799383570031E-4"/>
                  <c:y val="-3.139245248901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C2-4286-B0E8-4BD006497C6E}"/>
                </c:ext>
              </c:extLst>
            </c:dLbl>
            <c:dLbl>
              <c:idx val="1"/>
              <c:layout>
                <c:manualLayout>
                  <c:x val="-1.5083515659115683E-2"/>
                  <c:y val="-2.7829333747506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EC2-4286-B0E8-4BD006497C6E}"/>
                </c:ext>
              </c:extLst>
            </c:dLbl>
            <c:dLbl>
              <c:idx val="2"/>
              <c:layout>
                <c:manualLayout>
                  <c:x val="-5.2573627117147503E-3"/>
                  <c:y val="-1.5669693241501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C2-4286-B0E8-4BD006497C6E}"/>
                </c:ext>
              </c:extLst>
            </c:dLbl>
            <c:dLbl>
              <c:idx val="3"/>
              <c:layout>
                <c:manualLayout>
                  <c:x val="-1.7391847217580698E-2"/>
                  <c:y val="-2.493697845683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EC2-4286-B0E8-4BD006497C6E}"/>
                </c:ext>
              </c:extLst>
            </c:dLbl>
            <c:dLbl>
              <c:idx val="4"/>
              <c:layout>
                <c:manualLayout>
                  <c:x val="-5.2573766897161464E-3"/>
                  <c:y val="1.4874285842704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EC2-4286-B0E8-4BD006497C6E}"/>
                </c:ext>
              </c:extLst>
            </c:dLbl>
            <c:dLbl>
              <c:idx val="5"/>
              <c:layout>
                <c:manualLayout>
                  <c:x val="-9.0366759619482217E-3"/>
                  <c:y val="-1.85694979131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EC2-4286-B0E8-4BD006497C6E}"/>
                </c:ext>
              </c:extLst>
            </c:dLbl>
            <c:dLbl>
              <c:idx val="6"/>
              <c:layout>
                <c:manualLayout>
                  <c:x val="-6.258460090711025E-3"/>
                  <c:y val="-1.531377742223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EC2-4286-B0E8-4BD006497C6E}"/>
                </c:ext>
              </c:extLst>
            </c:dLbl>
            <c:dLbl>
              <c:idx val="7"/>
              <c:layout>
                <c:manualLayout>
                  <c:x val="-8.0559660213137731E-3"/>
                  <c:y val="-1.1998533998599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EC2-4286-B0E8-4BD006497C6E}"/>
                </c:ext>
              </c:extLst>
            </c:dLbl>
            <c:dLbl>
              <c:idx val="8"/>
              <c:layout>
                <c:manualLayout>
                  <c:x val="-2.9897597810441519E-3"/>
                  <c:y val="-1.4286147938468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EC2-4286-B0E8-4BD006497C6E}"/>
                </c:ext>
              </c:extLst>
            </c:dLbl>
            <c:dLbl>
              <c:idx val="9"/>
              <c:layout>
                <c:manualLayout>
                  <c:x val="-1.20600408359585E-2"/>
                  <c:y val="-3.8420615102675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EC2-4286-B0E8-4BD006497C6E}"/>
                </c:ext>
              </c:extLst>
            </c:dLbl>
            <c:dLbl>
              <c:idx val="12"/>
              <c:layout>
                <c:manualLayout>
                  <c:x val="-1.2570773554842233E-2"/>
                  <c:y val="2.1160596346513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EC2-4286-B0E8-4BD006497C6E}"/>
                </c:ext>
              </c:extLst>
            </c:dLbl>
            <c:dLbl>
              <c:idx val="13"/>
              <c:layout>
                <c:manualLayout>
                  <c:x val="-1.5430498225743447E-2"/>
                  <c:y val="-3.8655932625020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EC2-4286-B0E8-4BD006497C6E}"/>
                </c:ext>
              </c:extLst>
            </c:dLbl>
            <c:dLbl>
              <c:idx val="22"/>
              <c:layout>
                <c:manualLayout>
                  <c:x val="0"/>
                  <c:y val="1.483836777954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EC2-4286-B0E8-4BD006497C6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00FF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'10.17.1Inversiones'!$R$98:$R$122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'10.17.1Inversiones'!$T$98:$T$122</c:f>
              <c:numCache>
                <c:formatCode>#,##0</c:formatCode>
                <c:ptCount val="25"/>
                <c:pt idx="0">
                  <c:v>11.412649999999999</c:v>
                </c:pt>
                <c:pt idx="1">
                  <c:v>16.600999999999999</c:v>
                </c:pt>
                <c:pt idx="2">
                  <c:v>32.720779999999998</c:v>
                </c:pt>
                <c:pt idx="3">
                  <c:v>59.643269999999994</c:v>
                </c:pt>
                <c:pt idx="4">
                  <c:v>170.80662000000001</c:v>
                </c:pt>
                <c:pt idx="5">
                  <c:v>128.93899999999999</c:v>
                </c:pt>
                <c:pt idx="6">
                  <c:v>61.743000000000002</c:v>
                </c:pt>
                <c:pt idx="7">
                  <c:v>37.657000000000004</c:v>
                </c:pt>
                <c:pt idx="8">
                  <c:v>12.826000000000001</c:v>
                </c:pt>
                <c:pt idx="9">
                  <c:v>24.366</c:v>
                </c:pt>
                <c:pt idx="10">
                  <c:v>20.633900000000001</c:v>
                </c:pt>
                <c:pt idx="11">
                  <c:v>16.542999999999999</c:v>
                </c:pt>
                <c:pt idx="12">
                  <c:v>69.635899999999992</c:v>
                </c:pt>
                <c:pt idx="13">
                  <c:v>43.1</c:v>
                </c:pt>
                <c:pt idx="14">
                  <c:v>254.363</c:v>
                </c:pt>
                <c:pt idx="15">
                  <c:v>332.55720000000002</c:v>
                </c:pt>
                <c:pt idx="16">
                  <c:v>278.5</c:v>
                </c:pt>
                <c:pt idx="17">
                  <c:v>470.27</c:v>
                </c:pt>
                <c:pt idx="18">
                  <c:v>188.4134</c:v>
                </c:pt>
                <c:pt idx="19">
                  <c:v>244.01244188000001</c:v>
                </c:pt>
                <c:pt idx="20">
                  <c:v>354.97169140999995</c:v>
                </c:pt>
                <c:pt idx="21">
                  <c:v>398.3</c:v>
                </c:pt>
                <c:pt idx="22">
                  <c:v>269</c:v>
                </c:pt>
                <c:pt idx="23">
                  <c:v>81.554137765000007</c:v>
                </c:pt>
                <c:pt idx="24">
                  <c:v>152.23425350425475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6EC2-4286-B0E8-4BD006497C6E}"/>
            </c:ext>
          </c:extLst>
        </c:ser>
        <c:ser>
          <c:idx val="2"/>
          <c:order val="2"/>
          <c:tx>
            <c:strRef>
              <c:f>'10.17.1Inversiones'!$U$97</c:f>
              <c:strCache>
                <c:ptCount val="1"/>
                <c:pt idx="0">
                  <c:v>Distribuidoras</c:v>
                </c:pt>
              </c:strCache>
            </c:strRef>
          </c:tx>
          <c:spPr>
            <a:ln w="31750"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0132071903596556E-3"/>
                  <c:y val="-1.712399988146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EC2-4286-B0E8-4BD006497C6E}"/>
                </c:ext>
              </c:extLst>
            </c:dLbl>
            <c:dLbl>
              <c:idx val="2"/>
              <c:layout>
                <c:manualLayout>
                  <c:x val="-2.2339288851296506E-3"/>
                  <c:y val="1.5145354449116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EC2-4286-B0E8-4BD006497C6E}"/>
                </c:ext>
              </c:extLst>
            </c:dLbl>
            <c:dLbl>
              <c:idx val="3"/>
              <c:layout>
                <c:manualLayout>
                  <c:x val="-9.792520440593094E-3"/>
                  <c:y val="-1.4611711970812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EC2-4286-B0E8-4BD006497C6E}"/>
                </c:ext>
              </c:extLst>
            </c:dLbl>
            <c:dLbl>
              <c:idx val="5"/>
              <c:layout>
                <c:manualLayout>
                  <c:x val="-4.5015252220705132E-3"/>
                  <c:y val="1.823047659016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EC2-4286-B0E8-4BD006497C6E}"/>
                </c:ext>
              </c:extLst>
            </c:dLbl>
            <c:dLbl>
              <c:idx val="6"/>
              <c:layout>
                <c:manualLayout>
                  <c:x val="-1.1406844106463837E-2"/>
                  <c:y val="-2.68096514745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EC2-4286-B0E8-4BD006497C6E}"/>
                </c:ext>
              </c:extLst>
            </c:dLbl>
            <c:dLbl>
              <c:idx val="7"/>
              <c:layout>
                <c:manualLayout>
                  <c:x val="-3.7996546802022144E-3"/>
                  <c:y val="1.4173430108472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EC2-4286-B0E8-4BD006497C6E}"/>
                </c:ext>
              </c:extLst>
            </c:dLbl>
            <c:dLbl>
              <c:idx val="8"/>
              <c:layout>
                <c:manualLayout>
                  <c:x val="-1.8998273401011071E-2"/>
                  <c:y val="-1.9842802151861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EC2-4286-B0E8-4BD006497C6E}"/>
                </c:ext>
              </c:extLst>
            </c:dLbl>
            <c:dLbl>
              <c:idx val="9"/>
              <c:layout>
                <c:manualLayout>
                  <c:x val="-1.4780224429104373E-3"/>
                  <c:y val="1.0760257142197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EC2-4286-B0E8-4BD006497C6E}"/>
                </c:ext>
              </c:extLst>
            </c:dLbl>
            <c:dLbl>
              <c:idx val="12"/>
              <c:layout>
                <c:manualLayout>
                  <c:x val="-5.2573356931440779E-3"/>
                  <c:y val="1.8280155920119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EC2-4286-B0E8-4BD006497C6E}"/>
                </c:ext>
              </c:extLst>
            </c:dLbl>
            <c:dLbl>
              <c:idx val="13"/>
              <c:layout>
                <c:manualLayout>
                  <c:x val="-1.0766677243900749E-2"/>
                  <c:y val="-2.9222811561733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EC2-4286-B0E8-4BD006497C6E}"/>
                </c:ext>
              </c:extLst>
            </c:dLbl>
            <c:dLbl>
              <c:idx val="17"/>
              <c:layout>
                <c:manualLayout>
                  <c:x val="-1.0139416983523438E-2"/>
                  <c:y val="2.682763246143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EC2-4286-B0E8-4BD006497C6E}"/>
                </c:ext>
              </c:extLst>
            </c:dLbl>
            <c:dLbl>
              <c:idx val="18"/>
              <c:layout>
                <c:manualLayout>
                  <c:x val="-1.5209125475285178E-2"/>
                  <c:y val="2.9510184466378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EC2-4286-B0E8-4BD006497C6E}"/>
                </c:ext>
              </c:extLst>
            </c:dLbl>
            <c:dLbl>
              <c:idx val="22"/>
              <c:layout>
                <c:manualLayout>
                  <c:x val="-2.0012507028999145E-3"/>
                  <c:y val="-1.2718600953895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EC2-4286-B0E8-4BD006497C6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999933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'10.17.1Inversiones'!$R$98:$R$122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'10.17.1Inversiones'!$U$98:$U$122</c:f>
              <c:numCache>
                <c:formatCode>#,##0</c:formatCode>
                <c:ptCount val="25"/>
                <c:pt idx="0">
                  <c:v>163.39924000000002</c:v>
                </c:pt>
                <c:pt idx="1">
                  <c:v>193.27748000000003</c:v>
                </c:pt>
                <c:pt idx="2">
                  <c:v>171.46097</c:v>
                </c:pt>
                <c:pt idx="3">
                  <c:v>136.50492</c:v>
                </c:pt>
                <c:pt idx="4">
                  <c:v>121.50028001183432</c:v>
                </c:pt>
                <c:pt idx="5">
                  <c:v>139.20599999999999</c:v>
                </c:pt>
                <c:pt idx="6">
                  <c:v>134.38179</c:v>
                </c:pt>
                <c:pt idx="7">
                  <c:v>96.701999999999998</c:v>
                </c:pt>
                <c:pt idx="8">
                  <c:v>91.965999999999994</c:v>
                </c:pt>
                <c:pt idx="9">
                  <c:v>100.76300000000001</c:v>
                </c:pt>
                <c:pt idx="10">
                  <c:v>134.36663999999999</c:v>
                </c:pt>
                <c:pt idx="11">
                  <c:v>140.08600000000001</c:v>
                </c:pt>
                <c:pt idx="12">
                  <c:v>151.40692999999999</c:v>
                </c:pt>
                <c:pt idx="13">
                  <c:v>235.91</c:v>
                </c:pt>
                <c:pt idx="14">
                  <c:v>289.37342000000001</c:v>
                </c:pt>
                <c:pt idx="15">
                  <c:v>253.1712</c:v>
                </c:pt>
                <c:pt idx="16">
                  <c:v>229.4</c:v>
                </c:pt>
                <c:pt idx="17">
                  <c:v>337.36420000000004</c:v>
                </c:pt>
                <c:pt idx="18">
                  <c:v>421.36850000000004</c:v>
                </c:pt>
                <c:pt idx="19">
                  <c:v>401.29525350396761</c:v>
                </c:pt>
                <c:pt idx="20">
                  <c:v>357.44707323909199</c:v>
                </c:pt>
                <c:pt idx="21">
                  <c:v>364.7</c:v>
                </c:pt>
                <c:pt idx="22">
                  <c:v>292.34000000000003</c:v>
                </c:pt>
                <c:pt idx="23">
                  <c:v>306.93921893531569</c:v>
                </c:pt>
                <c:pt idx="24">
                  <c:v>268.81873530705138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6EC2-4286-B0E8-4BD006497C6E}"/>
            </c:ext>
          </c:extLst>
        </c:ser>
        <c:ser>
          <c:idx val="3"/>
          <c:order val="3"/>
          <c:tx>
            <c:strRef>
              <c:f>'10.17.1Inversiones'!$V$97</c:f>
              <c:strCache>
                <c:ptCount val="1"/>
                <c:pt idx="0">
                  <c:v>DGER</c:v>
                </c:pt>
              </c:strCache>
            </c:strRef>
          </c:tx>
          <c:spPr>
            <a:ln w="31750">
              <a:solidFill>
                <a:schemeClr val="accent5"/>
              </a:solidFill>
            </a:ln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989773363774555E-3"/>
                  <c:y val="-4.4827461221743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EC2-4286-B0E8-4BD006497C6E}"/>
                </c:ext>
              </c:extLst>
            </c:dLbl>
            <c:dLbl>
              <c:idx val="2"/>
              <c:layout>
                <c:manualLayout>
                  <c:x val="-9.7925134515924502E-3"/>
                  <c:y val="-2.0977370911669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EC2-4286-B0E8-4BD006497C6E}"/>
                </c:ext>
              </c:extLst>
            </c:dLbl>
            <c:dLbl>
              <c:idx val="3"/>
              <c:layout>
                <c:manualLayout>
                  <c:x val="-2.9897943307766245E-3"/>
                  <c:y val="2.789384344524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EC2-4286-B0E8-4BD006497C6E}"/>
                </c:ext>
              </c:extLst>
            </c:dLbl>
            <c:dLbl>
              <c:idx val="4"/>
              <c:layout>
                <c:manualLayout>
                  <c:x val="-7.2222594983844439E-4"/>
                  <c:y val="1.143473613608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EC2-4286-B0E8-4BD006497C6E}"/>
                </c:ext>
              </c:extLst>
            </c:dLbl>
            <c:dLbl>
              <c:idx val="5"/>
              <c:layout>
                <c:manualLayout>
                  <c:x val="-2.989808308777913E-3"/>
                  <c:y val="1.1720813096324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EC2-4286-B0E8-4BD006497C6E}"/>
                </c:ext>
              </c:extLst>
            </c:dLbl>
            <c:dLbl>
              <c:idx val="6"/>
              <c:layout>
                <c:manualLayout>
                  <c:x val="-7.5249660376564241E-3"/>
                  <c:y val="1.9126633396737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EC2-4286-B0E8-4BD006497C6E}"/>
                </c:ext>
              </c:extLst>
            </c:dLbl>
            <c:dLbl>
              <c:idx val="7"/>
              <c:layout>
                <c:manualLayout>
                  <c:x val="-3.2552369663118239E-3"/>
                  <c:y val="2.18694910555611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EC2-4286-B0E8-4BD006497C6E}"/>
                </c:ext>
              </c:extLst>
            </c:dLbl>
            <c:dLbl>
              <c:idx val="8"/>
              <c:layout>
                <c:manualLayout>
                  <c:x val="-5.0662062402696195E-3"/>
                  <c:y val="-1.4173430108472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EC2-4286-B0E8-4BD006497C6E}"/>
                </c:ext>
              </c:extLst>
            </c:dLbl>
            <c:dLbl>
              <c:idx val="9"/>
              <c:layout>
                <c:manualLayout>
                  <c:x val="-1.3571757749250945E-2"/>
                  <c:y val="-3.7713405976268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EC2-4286-B0E8-4BD006497C6E}"/>
                </c:ext>
              </c:extLst>
            </c:dLbl>
            <c:dLbl>
              <c:idx val="10"/>
              <c:layout>
                <c:manualLayout>
                  <c:x val="-1.013241248053914E-2"/>
                  <c:y val="-2.2677488173555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EC2-4286-B0E8-4BD006497C6E}"/>
                </c:ext>
              </c:extLst>
            </c:dLbl>
            <c:dLbl>
              <c:idx val="11"/>
              <c:layout>
                <c:manualLayout>
                  <c:x val="-1.6465170280876264E-2"/>
                  <c:y val="-1.7008116130166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EC2-4286-B0E8-4BD006497C6E}"/>
                </c:ext>
              </c:extLst>
            </c:dLbl>
            <c:dLbl>
              <c:idx val="12"/>
              <c:layout>
                <c:manualLayout>
                  <c:x val="-5.7679954787101164E-3"/>
                  <c:y val="-1.2259682238393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6EC2-4286-B0E8-4BD006497C6E}"/>
                </c:ext>
              </c:extLst>
            </c:dLbl>
            <c:dLbl>
              <c:idx val="13"/>
              <c:layout>
                <c:manualLayout>
                  <c:x val="-9.2120702499529188E-3"/>
                  <c:y val="-2.8947830339809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6EC2-4286-B0E8-4BD006497C6E}"/>
                </c:ext>
              </c:extLst>
            </c:dLbl>
            <c:dLbl>
              <c:idx val="14"/>
              <c:layout>
                <c:manualLayout>
                  <c:x val="-1.3941698352344644E-2"/>
                  <c:y val="3.219315895372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6EC2-4286-B0E8-4BD006497C6E}"/>
                </c:ext>
              </c:extLst>
            </c:dLbl>
            <c:dLbl>
              <c:idx val="15"/>
              <c:layout>
                <c:manualLayout>
                  <c:x val="-1.3941698352344833E-2"/>
                  <c:y val="4.0241448692152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6EC2-4286-B0E8-4BD006497C6E}"/>
                </c:ext>
              </c:extLst>
            </c:dLbl>
            <c:dLbl>
              <c:idx val="16"/>
              <c:layout>
                <c:manualLayout>
                  <c:x val="-1.2674271229404403E-2"/>
                  <c:y val="2.4144869215291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6EC2-4286-B0E8-4BD006497C6E}"/>
                </c:ext>
              </c:extLst>
            </c:dLbl>
            <c:dLbl>
              <c:idx val="17"/>
              <c:layout>
                <c:manualLayout>
                  <c:x val="-1.2674271229404309E-2"/>
                  <c:y val="3.2193158953722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6EC2-4286-B0E8-4BD006497C6E}"/>
                </c:ext>
              </c:extLst>
            </c:dLbl>
            <c:dLbl>
              <c:idx val="18"/>
              <c:layout>
                <c:manualLayout>
                  <c:x val="-1.5209125475285178E-2"/>
                  <c:y val="2.9510395707578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6EC2-4286-B0E8-4BD006497C6E}"/>
                </c:ext>
              </c:extLst>
            </c:dLbl>
            <c:dLbl>
              <c:idx val="19"/>
              <c:layout>
                <c:manualLayout>
                  <c:x val="-2.5348542458808626E-3"/>
                  <c:y val="2.1461894727947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6EC2-4286-B0E8-4BD006497C6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80C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'10.17.1Inversiones'!$R$98:$R$122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'10.17.1Inversiones'!$V$98:$V$122</c:f>
              <c:numCache>
                <c:formatCode>#,##0</c:formatCode>
                <c:ptCount val="25"/>
                <c:pt idx="0">
                  <c:v>74.287999999999997</c:v>
                </c:pt>
                <c:pt idx="1">
                  <c:v>135.94999999999999</c:v>
                </c:pt>
                <c:pt idx="2">
                  <c:v>46.558</c:v>
                </c:pt>
                <c:pt idx="3">
                  <c:v>51.488</c:v>
                </c:pt>
                <c:pt idx="4">
                  <c:v>54.64</c:v>
                </c:pt>
                <c:pt idx="5">
                  <c:v>53.411000000000001</c:v>
                </c:pt>
                <c:pt idx="6">
                  <c:v>45.167000000000002</c:v>
                </c:pt>
                <c:pt idx="7">
                  <c:v>17.329999999999998</c:v>
                </c:pt>
                <c:pt idx="8">
                  <c:v>43.427999999999997</c:v>
                </c:pt>
                <c:pt idx="9">
                  <c:v>39.078000000000003</c:v>
                </c:pt>
                <c:pt idx="10">
                  <c:v>45.244</c:v>
                </c:pt>
                <c:pt idx="11">
                  <c:v>33.953000000000003</c:v>
                </c:pt>
                <c:pt idx="12">
                  <c:v>89.927000000000007</c:v>
                </c:pt>
                <c:pt idx="13">
                  <c:v>99.486999999999995</c:v>
                </c:pt>
                <c:pt idx="14">
                  <c:v>184.72200000000001</c:v>
                </c:pt>
                <c:pt idx="15">
                  <c:v>223.376</c:v>
                </c:pt>
                <c:pt idx="16">
                  <c:v>131.30000000000001</c:v>
                </c:pt>
                <c:pt idx="17">
                  <c:v>149.8812093018218</c:v>
                </c:pt>
                <c:pt idx="18">
                  <c:v>149.41353189887735</c:v>
                </c:pt>
                <c:pt idx="19">
                  <c:v>111.02398648648649</c:v>
                </c:pt>
                <c:pt idx="20">
                  <c:v>107.14969696969698</c:v>
                </c:pt>
                <c:pt idx="21">
                  <c:v>69.400000000000006</c:v>
                </c:pt>
                <c:pt idx="22">
                  <c:v>101.8</c:v>
                </c:pt>
                <c:pt idx="23">
                  <c:v>106.963153496122</c:v>
                </c:pt>
                <c:pt idx="24">
                  <c:v>91.252862507112198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6EC2-4286-B0E8-4BD006497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884416"/>
        <c:axId val="677750656"/>
      </c:lineChart>
      <c:catAx>
        <c:axId val="67588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67775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7750656"/>
        <c:scaling>
          <c:orientation val="minMax"/>
          <c:max val="2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US $</a:t>
                </a:r>
              </a:p>
            </c:rich>
          </c:tx>
          <c:layout>
            <c:manualLayout>
              <c:xMode val="edge"/>
              <c:yMode val="edge"/>
              <c:x val="1.8277950179088766E-2"/>
              <c:y val="0.423910890025817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675884416"/>
        <c:crosses val="autoZero"/>
        <c:crossBetween val="between"/>
        <c:majorUnit val="200"/>
        <c:minorUnit val="50"/>
      </c:valAx>
    </c:plotArea>
    <c:legend>
      <c:legendPos val="r"/>
      <c:layout>
        <c:manualLayout>
          <c:xMode val="edge"/>
          <c:yMode val="edge"/>
          <c:x val="0.13403039907529091"/>
          <c:y val="0.94164997787715166"/>
          <c:w val="0.74904941230172306"/>
          <c:h val="4.024141826788840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POTENCIA INSTALADA 1 995 - 2 019</a:t>
            </a:r>
          </a:p>
        </c:rich>
      </c:tx>
      <c:layout>
        <c:manualLayout>
          <c:xMode val="edge"/>
          <c:yMode val="edge"/>
          <c:x val="0.30348082229366297"/>
          <c:y val="7.4315310586176728E-2"/>
        </c:manualLayout>
      </c:layout>
      <c:overlay val="0"/>
      <c:spPr>
        <a:solidFill>
          <a:srgbClr val="3798AF"/>
        </a:solidFill>
        <a:scene3d>
          <a:camera prst="orthographicFront"/>
          <a:lightRig rig="balanced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9.0114832713655987E-2"/>
          <c:y val="0.24666746962066935"/>
          <c:w val="0.88120623445830648"/>
          <c:h val="0.4666681857688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 Inst'!$V$4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'10.1 P Inst'!$U$5:$U$29</c:f>
              <c:numCache>
                <c:formatCode>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 formatCode="General">
                  <c:v>2019</c:v>
                </c:pt>
              </c:numCache>
            </c:numRef>
          </c:cat>
          <c:val>
            <c:numRef>
              <c:f>'10.1 P Inst'!$V$5:$V$29</c:f>
              <c:numCache>
                <c:formatCode>#\ ##0.00</c:formatCode>
                <c:ptCount val="25"/>
                <c:pt idx="0" formatCode="General">
                  <c:v>4461.7</c:v>
                </c:pt>
                <c:pt idx="1">
                  <c:v>4662.6049999999996</c:v>
                </c:pt>
                <c:pt idx="2">
                  <c:v>5192.4979999999996</c:v>
                </c:pt>
                <c:pt idx="3">
                  <c:v>5515.29</c:v>
                </c:pt>
                <c:pt idx="4">
                  <c:v>5742.4279999999999</c:v>
                </c:pt>
                <c:pt idx="5">
                  <c:v>6066.1890000000003</c:v>
                </c:pt>
                <c:pt idx="6">
                  <c:v>5906.6930000000002</c:v>
                </c:pt>
                <c:pt idx="7">
                  <c:v>5935.5330000000004</c:v>
                </c:pt>
                <c:pt idx="8">
                  <c:v>5970.0630000000001</c:v>
                </c:pt>
                <c:pt idx="9">
                  <c:v>6016.3186000000023</c:v>
                </c:pt>
                <c:pt idx="10">
                  <c:v>6200.5255999999999</c:v>
                </c:pt>
                <c:pt idx="11">
                  <c:v>6658.1435999999994</c:v>
                </c:pt>
                <c:pt idx="12">
                  <c:v>7027.5172000000002</c:v>
                </c:pt>
                <c:pt idx="13">
                  <c:v>7157.9350000000031</c:v>
                </c:pt>
                <c:pt idx="14">
                  <c:v>7986.4960000000019</c:v>
                </c:pt>
                <c:pt idx="15">
                  <c:v>8612.5569999999989</c:v>
                </c:pt>
                <c:pt idx="16">
                  <c:v>8691.3240000000005</c:v>
                </c:pt>
                <c:pt idx="17">
                  <c:v>9699.0969999999979</c:v>
                </c:pt>
                <c:pt idx="18">
                  <c:v>11050.719000000001</c:v>
                </c:pt>
                <c:pt idx="19">
                  <c:v>11202.619000000001</c:v>
                </c:pt>
                <c:pt idx="20">
                  <c:v>12188.626999999999</c:v>
                </c:pt>
                <c:pt idx="21">
                  <c:v>14517.715</c:v>
                </c:pt>
                <c:pt idx="22">
                  <c:v>14734.771000000015</c:v>
                </c:pt>
                <c:pt idx="23">
                  <c:v>15144.58600000001</c:v>
                </c:pt>
                <c:pt idx="24">
                  <c:v>15122.840000000011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DD-40CB-8726-93B5C4AAC104}"/>
            </c:ext>
          </c:extLst>
        </c:ser>
        <c:ser>
          <c:idx val="1"/>
          <c:order val="1"/>
          <c:tx>
            <c:strRef>
              <c:f>'10.1 P Inst'!$W$4</c:f>
              <c:strCache>
                <c:ptCount val="1"/>
                <c:pt idx="0">
                  <c:v>Hidro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'10.1 P Inst'!$U$5:$U$29</c:f>
              <c:numCache>
                <c:formatCode>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 formatCode="General">
                  <c:v>2019</c:v>
                </c:pt>
              </c:numCache>
            </c:numRef>
          </c:cat>
          <c:val>
            <c:numRef>
              <c:f>'10.1 P Inst'!$W$5:$W$29</c:f>
              <c:numCache>
                <c:formatCode>#\ ##0.00</c:formatCode>
                <c:ptCount val="25"/>
                <c:pt idx="0">
                  <c:v>2479.4</c:v>
                </c:pt>
                <c:pt idx="1">
                  <c:v>2492.7239999999997</c:v>
                </c:pt>
                <c:pt idx="2">
                  <c:v>2512.9939999999997</c:v>
                </c:pt>
                <c:pt idx="3">
                  <c:v>2572.0610000000001</c:v>
                </c:pt>
                <c:pt idx="4">
                  <c:v>2673.2799999999997</c:v>
                </c:pt>
                <c:pt idx="5">
                  <c:v>2856.8250000000003</c:v>
                </c:pt>
                <c:pt idx="6">
                  <c:v>2966.328</c:v>
                </c:pt>
                <c:pt idx="7">
                  <c:v>2996.4710000000014</c:v>
                </c:pt>
                <c:pt idx="8">
                  <c:v>3032.3070000000002</c:v>
                </c:pt>
                <c:pt idx="9">
                  <c:v>3055.8676000000023</c:v>
                </c:pt>
                <c:pt idx="10">
                  <c:v>3207.0616000000005</c:v>
                </c:pt>
                <c:pt idx="11">
                  <c:v>3216.0025999999998</c:v>
                </c:pt>
                <c:pt idx="12">
                  <c:v>3233.5982000000004</c:v>
                </c:pt>
                <c:pt idx="13">
                  <c:v>3242.0260000000017</c:v>
                </c:pt>
                <c:pt idx="14">
                  <c:v>3277.4640000000018</c:v>
                </c:pt>
                <c:pt idx="15">
                  <c:v>3437.6019999999999</c:v>
                </c:pt>
                <c:pt idx="16">
                  <c:v>3450.953</c:v>
                </c:pt>
                <c:pt idx="17">
                  <c:v>3483.9739999999988</c:v>
                </c:pt>
                <c:pt idx="18">
                  <c:v>3556.1819999999998</c:v>
                </c:pt>
                <c:pt idx="19">
                  <c:v>3661.8649999999993</c:v>
                </c:pt>
                <c:pt idx="20">
                  <c:v>4151.8429999999998</c:v>
                </c:pt>
                <c:pt idx="21">
                  <c:v>5189.2449999999999</c:v>
                </c:pt>
                <c:pt idx="22">
                  <c:v>5245.9300000000067</c:v>
                </c:pt>
                <c:pt idx="23">
                  <c:v>5363.3650000000007</c:v>
                </c:pt>
                <c:pt idx="24">
                  <c:v>5397.2050000000027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DD-40CB-8726-93B5C4AAC104}"/>
            </c:ext>
          </c:extLst>
        </c:ser>
        <c:ser>
          <c:idx val="2"/>
          <c:order val="2"/>
          <c:tx>
            <c:strRef>
              <c:f>'10.1 P Inst'!$X$4</c:f>
              <c:strCache>
                <c:ptCount val="1"/>
                <c:pt idx="0">
                  <c:v>Termo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'10.1 P Inst'!$U$5:$U$29</c:f>
              <c:numCache>
                <c:formatCode>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 formatCode="General">
                  <c:v>2019</c:v>
                </c:pt>
              </c:numCache>
            </c:numRef>
          </c:cat>
          <c:val>
            <c:numRef>
              <c:f>'10.1 P Inst'!$X$5:$X$29</c:f>
              <c:numCache>
                <c:formatCode>#\ ##0.00</c:formatCode>
                <c:ptCount val="25"/>
                <c:pt idx="0">
                  <c:v>1982.3</c:v>
                </c:pt>
                <c:pt idx="1">
                  <c:v>2169.6310000000003</c:v>
                </c:pt>
                <c:pt idx="2">
                  <c:v>2679.2539999999999</c:v>
                </c:pt>
                <c:pt idx="3">
                  <c:v>2942.9789999999998</c:v>
                </c:pt>
                <c:pt idx="4">
                  <c:v>3068.4480000000003</c:v>
                </c:pt>
                <c:pt idx="5">
                  <c:v>3208.6640000000002</c:v>
                </c:pt>
                <c:pt idx="6">
                  <c:v>2939.665</c:v>
                </c:pt>
                <c:pt idx="7">
                  <c:v>2938.3619999999996</c:v>
                </c:pt>
                <c:pt idx="8">
                  <c:v>2937.056</c:v>
                </c:pt>
                <c:pt idx="9">
                  <c:v>2959.7510000000002</c:v>
                </c:pt>
                <c:pt idx="10">
                  <c:v>2992.7639999999992</c:v>
                </c:pt>
                <c:pt idx="11">
                  <c:v>3441.4409999999998</c:v>
                </c:pt>
                <c:pt idx="12">
                  <c:v>3793.2190000000001</c:v>
                </c:pt>
                <c:pt idx="13">
                  <c:v>3915.2090000000017</c:v>
                </c:pt>
                <c:pt idx="14">
                  <c:v>4708.3320000000003</c:v>
                </c:pt>
                <c:pt idx="15">
                  <c:v>5174.2549999999983</c:v>
                </c:pt>
                <c:pt idx="16">
                  <c:v>5239.6710000000003</c:v>
                </c:pt>
                <c:pt idx="17">
                  <c:v>6134.4229999999989</c:v>
                </c:pt>
                <c:pt idx="18">
                  <c:v>7413.8369999999995</c:v>
                </c:pt>
                <c:pt idx="19">
                  <c:v>7302.054000000001</c:v>
                </c:pt>
                <c:pt idx="20">
                  <c:v>7700.9839999999995</c:v>
                </c:pt>
                <c:pt idx="21">
                  <c:v>8988.5199999999986</c:v>
                </c:pt>
                <c:pt idx="22">
                  <c:v>9004.4070000000065</c:v>
                </c:pt>
                <c:pt idx="23">
                  <c:v>9124.4870000000083</c:v>
                </c:pt>
                <c:pt idx="24">
                  <c:v>9064.3510000000097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DDD-40CB-8726-93B5C4AAC104}"/>
            </c:ext>
          </c:extLst>
        </c:ser>
        <c:ser>
          <c:idx val="3"/>
          <c:order val="3"/>
          <c:tx>
            <c:strRef>
              <c:f>'10.1 P Inst'!$Y$4</c:f>
              <c:strCache>
                <c:ptCount val="1"/>
                <c:pt idx="0">
                  <c:v>Solar</c:v>
                </c:pt>
              </c:strCache>
            </c:strRef>
          </c:tx>
          <c:invertIfNegative val="0"/>
          <c:cat>
            <c:numRef>
              <c:f>'10.1 P Inst'!$U$5:$U$29</c:f>
              <c:numCache>
                <c:formatCode>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 formatCode="General">
                  <c:v>2019</c:v>
                </c:pt>
              </c:numCache>
            </c:numRef>
          </c:cat>
          <c:val>
            <c:numRef>
              <c:f>'10.1 P Inst'!$Y$6:$Y$29</c:f>
              <c:numCache>
                <c:formatCode>General</c:formatCode>
                <c:ptCount val="24"/>
                <c:pt idx="16" formatCode="#\ ##0.00">
                  <c:v>80</c:v>
                </c:pt>
                <c:pt idx="17" formatCode="#\ ##0.00">
                  <c:v>80</c:v>
                </c:pt>
                <c:pt idx="18" formatCode="#\ ##0.00">
                  <c:v>96</c:v>
                </c:pt>
                <c:pt idx="19" formatCode="#\ ##0.00">
                  <c:v>96</c:v>
                </c:pt>
                <c:pt idx="20" formatCode="#\ ##0.00">
                  <c:v>100</c:v>
                </c:pt>
                <c:pt idx="21" formatCode="#\ ##0.00">
                  <c:v>244.48400000000001</c:v>
                </c:pt>
                <c:pt idx="22" formatCode="#\ ##0.00">
                  <c:v>284.48400000000004</c:v>
                </c:pt>
                <c:pt idx="23" formatCode="#\ ##0.00">
                  <c:v>289.03399999999999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DDD-40CB-8726-93B5C4AAC104}"/>
            </c:ext>
          </c:extLst>
        </c:ser>
        <c:ser>
          <c:idx val="4"/>
          <c:order val="4"/>
          <c:tx>
            <c:strRef>
              <c:f>'10.1 P Inst'!$Z$4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'10.1 P Inst'!$U$5:$U$29</c:f>
              <c:numCache>
                <c:formatCode>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 formatCode="General">
                  <c:v>2019</c:v>
                </c:pt>
              </c:numCache>
            </c:numRef>
          </c:cat>
          <c:val>
            <c:numRef>
              <c:f>'10.1 P Inst'!$Z$5:$Z$29</c:f>
              <c:numCache>
                <c:formatCode>#\ ##0.00</c:formatCode>
                <c:ptCount val="25"/>
                <c:pt idx="19">
                  <c:v>142.69999999999999</c:v>
                </c:pt>
                <c:pt idx="20">
                  <c:v>239.79999999999998</c:v>
                </c:pt>
                <c:pt idx="21">
                  <c:v>239.95</c:v>
                </c:pt>
                <c:pt idx="22">
                  <c:v>239.95</c:v>
                </c:pt>
                <c:pt idx="23">
                  <c:v>372.24999999999994</c:v>
                </c:pt>
                <c:pt idx="24">
                  <c:v>372.24999999999994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DDD-40CB-8726-93B5C4AAC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32192"/>
        <c:axId val="176263552"/>
      </c:barChart>
      <c:catAx>
        <c:axId val="1750321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7626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263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0662690832285018E-2"/>
              <c:y val="0.440001399825021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75032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493195007428804"/>
          <c:y val="0.82452283464566933"/>
          <c:w val="0.5667375897539435"/>
          <c:h val="8.7343832020997381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INVERSIONES EN EL SECTOR ELÉCTRICO (ESTATAL, PRIVADA Y ELECTRIFICACIÓN RURAL)
PERÍODO 1995- 2019</a:t>
            </a:r>
          </a:p>
        </c:rich>
      </c:tx>
      <c:layout>
        <c:manualLayout>
          <c:xMode val="edge"/>
          <c:yMode val="edge"/>
          <c:x val="0.28463152004476594"/>
          <c:y val="1.7110907648171886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6.0727899777699289E-2"/>
          <c:y val="0.16433836178211511"/>
          <c:w val="0.92249353527378997"/>
          <c:h val="0.62529298891416851"/>
        </c:manualLayout>
      </c:layout>
      <c:lineChart>
        <c:grouping val="standard"/>
        <c:varyColors val="0"/>
        <c:ser>
          <c:idx val="1"/>
          <c:order val="0"/>
          <c:tx>
            <c:strRef>
              <c:f>'10.17.5 Evo.Graficos '!$A$13</c:f>
              <c:strCache>
                <c:ptCount val="1"/>
                <c:pt idx="0">
                  <c:v>Estatal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  <a:effectLst>
              <a:outerShdw blurRad="50800" dist="38100" dir="2700000" algn="tl" rotWithShape="0">
                <a:srgbClr val="00B050">
                  <a:alpha val="40000"/>
                </a:srgbClr>
              </a:outerShdw>
            </a:effectLst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B050"/>
                </a:solidFill>
                <a:prstDash val="solid"/>
              </a:ln>
              <a:effectLst>
                <a:outerShdw blurRad="50800" dist="38100" dir="2700000" algn="tl" rotWithShape="0">
                  <a:srgbClr val="00B050">
                    <a:alpha val="40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'10.17.5 Evo.Graficos '!$G$12:$AE$12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'10.17.5 Evo.Graficos '!$G$13:$AE$13</c:f>
              <c:numCache>
                <c:formatCode>_-* #\ ##0.0\ _€_-;\-* #\ ##0.0\ _€_-;_-* "-"\ _€_-;_-@_-</c:formatCode>
                <c:ptCount val="25"/>
                <c:pt idx="0">
                  <c:v>154.71299900000002</c:v>
                </c:pt>
                <c:pt idx="1">
                  <c:v>176.97620699999999</c:v>
                </c:pt>
                <c:pt idx="2">
                  <c:v>207.88996600000002</c:v>
                </c:pt>
                <c:pt idx="3">
                  <c:v>202.79134300000001</c:v>
                </c:pt>
                <c:pt idx="4">
                  <c:v>201.72455901183429</c:v>
                </c:pt>
                <c:pt idx="5">
                  <c:v>165.989</c:v>
                </c:pt>
                <c:pt idx="6">
                  <c:v>95.058679999999995</c:v>
                </c:pt>
                <c:pt idx="7">
                  <c:v>109.855</c:v>
                </c:pt>
                <c:pt idx="8">
                  <c:v>110.83204000000001</c:v>
                </c:pt>
                <c:pt idx="9">
                  <c:v>116.11542999999999</c:v>
                </c:pt>
                <c:pt idx="10">
                  <c:v>117.40603</c:v>
                </c:pt>
                <c:pt idx="11">
                  <c:v>95.741500000000002</c:v>
                </c:pt>
                <c:pt idx="12">
                  <c:v>139.71519999999998</c:v>
                </c:pt>
                <c:pt idx="13">
                  <c:v>128.88200000000001</c:v>
                </c:pt>
                <c:pt idx="14">
                  <c:v>249.98099999999999</c:v>
                </c:pt>
                <c:pt idx="15">
                  <c:v>165.61099999999999</c:v>
                </c:pt>
                <c:pt idx="16">
                  <c:v>106.97369999999999</c:v>
                </c:pt>
                <c:pt idx="17">
                  <c:v>121.623</c:v>
                </c:pt>
                <c:pt idx="18">
                  <c:v>209.32290000000003</c:v>
                </c:pt>
                <c:pt idx="19">
                  <c:v>159.26756419362286</c:v>
                </c:pt>
                <c:pt idx="20">
                  <c:v>122.07089438088974</c:v>
                </c:pt>
                <c:pt idx="21">
                  <c:v>126.97435578393939</c:v>
                </c:pt>
                <c:pt idx="22">
                  <c:v>52.007961756063978</c:v>
                </c:pt>
                <c:pt idx="23">
                  <c:v>78.45434246322354</c:v>
                </c:pt>
                <c:pt idx="24">
                  <c:v>170.00447599202272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50-488F-B48C-4E4E4AA37FD2}"/>
            </c:ext>
          </c:extLst>
        </c:ser>
        <c:ser>
          <c:idx val="3"/>
          <c:order val="1"/>
          <c:tx>
            <c:strRef>
              <c:f>'10.17.5 Evo.Graficos '!$A$14</c:f>
              <c:strCache>
                <c:ptCount val="1"/>
                <c:pt idx="0">
                  <c:v>Privada</c:v>
                </c:pt>
              </c:strCache>
            </c:strRef>
          </c:tx>
          <c:spPr>
            <a:ln w="12700">
              <a:solidFill>
                <a:srgbClr val="0000CC"/>
              </a:solidFill>
              <a:prstDash val="solid"/>
            </a:ln>
            <a:effectLst/>
          </c:spPr>
          <c:marker>
            <c:symbol val="x"/>
            <c:size val="5"/>
            <c:spPr>
              <a:solidFill>
                <a:srgbClr val="0070C0"/>
              </a:solidFill>
              <a:ln>
                <a:solidFill>
                  <a:srgbClr val="0000CC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'10.17.5 Evo.Graficos '!$G$12:$AE$12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'10.17.5 Evo.Graficos '!$G$14:$AE$14</c:f>
              <c:numCache>
                <c:formatCode>_-* #\ ##0.0\ _€_-;\-* #\ ##0.0\ _€_-;_-* "-"\ _€_-;_-@_-</c:formatCode>
                <c:ptCount val="25"/>
                <c:pt idx="0">
                  <c:v>66.151630000000011</c:v>
                </c:pt>
                <c:pt idx="1">
                  <c:v>195.77716999999998</c:v>
                </c:pt>
                <c:pt idx="2">
                  <c:v>339.06891500000006</c:v>
                </c:pt>
                <c:pt idx="3">
                  <c:v>358.24208799999997</c:v>
                </c:pt>
                <c:pt idx="4">
                  <c:v>507.36566899999997</c:v>
                </c:pt>
                <c:pt idx="5">
                  <c:v>433.589</c:v>
                </c:pt>
                <c:pt idx="6">
                  <c:v>196.17129</c:v>
                </c:pt>
                <c:pt idx="7">
                  <c:v>120.021</c:v>
                </c:pt>
                <c:pt idx="8">
                  <c:v>72.152110000000008</c:v>
                </c:pt>
                <c:pt idx="9">
                  <c:v>165.06376</c:v>
                </c:pt>
                <c:pt idx="10">
                  <c:v>229.88297999999998</c:v>
                </c:pt>
                <c:pt idx="11">
                  <c:v>340.19845000000004</c:v>
                </c:pt>
                <c:pt idx="12">
                  <c:v>388.50857000000002</c:v>
                </c:pt>
                <c:pt idx="13">
                  <c:v>619.20600000000002</c:v>
                </c:pt>
                <c:pt idx="14">
                  <c:v>719.57899999999995</c:v>
                </c:pt>
                <c:pt idx="15">
                  <c:v>978.75199999999995</c:v>
                </c:pt>
                <c:pt idx="16">
                  <c:v>1641.7509652000001</c:v>
                </c:pt>
                <c:pt idx="17">
                  <c:v>2467.4208604500004</c:v>
                </c:pt>
                <c:pt idx="18">
                  <c:v>2230.2925</c:v>
                </c:pt>
                <c:pt idx="19">
                  <c:v>2296.2370017137027</c:v>
                </c:pt>
                <c:pt idx="20">
                  <c:v>2364.2373654698199</c:v>
                </c:pt>
                <c:pt idx="21">
                  <c:v>1601.816670612709</c:v>
                </c:pt>
                <c:pt idx="22">
                  <c:v>1365.2733862215043</c:v>
                </c:pt>
                <c:pt idx="23">
                  <c:v>580.74200391718091</c:v>
                </c:pt>
                <c:pt idx="24">
                  <c:v>448.37901411371553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50-488F-B48C-4E4E4AA37FD2}"/>
            </c:ext>
          </c:extLst>
        </c:ser>
        <c:ser>
          <c:idx val="2"/>
          <c:order val="2"/>
          <c:tx>
            <c:strRef>
              <c:f>'10.17.5 Evo.Graficos '!$A$15</c:f>
              <c:strCache>
                <c:ptCount val="1"/>
                <c:pt idx="0">
                  <c:v>Rural (*)</c:v>
                </c:pt>
              </c:strCache>
            </c:strRef>
          </c:tx>
          <c:spPr>
            <a:ln w="12700">
              <a:solidFill>
                <a:schemeClr val="accent6"/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chemeClr val="accent6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'10.17.5 Evo.Graficos '!$G$12:$AE$12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'10.17.5 Evo.Graficos '!$G$15:$AE$15</c:f>
              <c:numCache>
                <c:formatCode>_-* #\ ##0.0\ _€_-;\-* #\ ##0.0\ _€_-;_-* "-"\ _€_-;_-@_-</c:formatCode>
                <c:ptCount val="25"/>
                <c:pt idx="0">
                  <c:v>74.287999999999997</c:v>
                </c:pt>
                <c:pt idx="1">
                  <c:v>135.94999999999999</c:v>
                </c:pt>
                <c:pt idx="2">
                  <c:v>46.558</c:v>
                </c:pt>
                <c:pt idx="3">
                  <c:v>51.488</c:v>
                </c:pt>
                <c:pt idx="4">
                  <c:v>54.64</c:v>
                </c:pt>
                <c:pt idx="5">
                  <c:v>53.411000000000001</c:v>
                </c:pt>
                <c:pt idx="6">
                  <c:v>45.167000000000002</c:v>
                </c:pt>
                <c:pt idx="7">
                  <c:v>17.329999999999998</c:v>
                </c:pt>
                <c:pt idx="8">
                  <c:v>43.427714000000002</c:v>
                </c:pt>
                <c:pt idx="9">
                  <c:v>39.078000000000003</c:v>
                </c:pt>
                <c:pt idx="10">
                  <c:v>45.244</c:v>
                </c:pt>
                <c:pt idx="11">
                  <c:v>33.953000000000003</c:v>
                </c:pt>
                <c:pt idx="12">
                  <c:v>89.927000000000007</c:v>
                </c:pt>
                <c:pt idx="13">
                  <c:v>99.486999999999995</c:v>
                </c:pt>
                <c:pt idx="14">
                  <c:v>184.72200000000001</c:v>
                </c:pt>
                <c:pt idx="15">
                  <c:v>223.376</c:v>
                </c:pt>
                <c:pt idx="16">
                  <c:v>131.27500000000001</c:v>
                </c:pt>
                <c:pt idx="17">
                  <c:v>149.881209301822</c:v>
                </c:pt>
                <c:pt idx="18">
                  <c:v>149.41353189887735</c:v>
                </c:pt>
                <c:pt idx="19">
                  <c:v>111.02398648648649</c:v>
                </c:pt>
                <c:pt idx="20">
                  <c:v>107.14969696969698</c:v>
                </c:pt>
                <c:pt idx="21">
                  <c:v>69.370544918998519</c:v>
                </c:pt>
                <c:pt idx="22">
                  <c:v>101.764751705972</c:v>
                </c:pt>
                <c:pt idx="23">
                  <c:v>106.96315349612163</c:v>
                </c:pt>
                <c:pt idx="24">
                  <c:v>91.252862507112226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50-488F-B48C-4E4E4AA37FD2}"/>
            </c:ext>
          </c:extLst>
        </c:ser>
        <c:ser>
          <c:idx val="4"/>
          <c:order val="3"/>
          <c:tx>
            <c:strRef>
              <c:f>'10.17.5 Evo.Graficos '!$AF$12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80008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'10.17.5 Evo.Graficos '!$G$12:$AE$12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'10.17.5 Evo.Graficos '!$G$6:$AE$6</c:f>
              <c:numCache>
                <c:formatCode>#\ ##0.0</c:formatCode>
                <c:ptCount val="25"/>
                <c:pt idx="0">
                  <c:v>295.15262900000005</c:v>
                </c:pt>
                <c:pt idx="1">
                  <c:v>508.70337699999999</c:v>
                </c:pt>
                <c:pt idx="2">
                  <c:v>593.51688100000001</c:v>
                </c:pt>
                <c:pt idx="3">
                  <c:v>612.52143099999989</c:v>
                </c:pt>
                <c:pt idx="4">
                  <c:v>763.73022801183424</c:v>
                </c:pt>
                <c:pt idx="5">
                  <c:v>652.98900000000003</c:v>
                </c:pt>
                <c:pt idx="6">
                  <c:v>336.39697000000001</c:v>
                </c:pt>
                <c:pt idx="7">
                  <c:v>247.20600000000002</c:v>
                </c:pt>
                <c:pt idx="8">
                  <c:v>226.41186400000001</c:v>
                </c:pt>
                <c:pt idx="9">
                  <c:v>320.25719000000004</c:v>
                </c:pt>
                <c:pt idx="10">
                  <c:v>392.53300999999999</c:v>
                </c:pt>
                <c:pt idx="11">
                  <c:v>469.89295000000004</c:v>
                </c:pt>
                <c:pt idx="12">
                  <c:v>618.15077000000008</c:v>
                </c:pt>
                <c:pt idx="13">
                  <c:v>847.57499999999993</c:v>
                </c:pt>
                <c:pt idx="14">
                  <c:v>1154.2819999999999</c:v>
                </c:pt>
                <c:pt idx="15">
                  <c:v>1367.7389999999998</c:v>
                </c:pt>
                <c:pt idx="16">
                  <c:v>1879.9996652000002</c:v>
                </c:pt>
                <c:pt idx="17">
                  <c:v>2738.9250697518223</c:v>
                </c:pt>
                <c:pt idx="18">
                  <c:v>2589.0289318988775</c:v>
                </c:pt>
                <c:pt idx="19">
                  <c:v>2566.5285523938123</c:v>
                </c:pt>
                <c:pt idx="20">
                  <c:v>2593.4579568204067</c:v>
                </c:pt>
                <c:pt idx="21">
                  <c:v>1798.1615713156471</c:v>
                </c:pt>
                <c:pt idx="22">
                  <c:v>1519.0460996835402</c:v>
                </c:pt>
                <c:pt idx="23">
                  <c:v>766.15949987652607</c:v>
                </c:pt>
                <c:pt idx="24">
                  <c:v>709.63635261285049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050-488F-B48C-4E4E4AA37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45728"/>
        <c:axId val="158747264"/>
      </c:lineChart>
      <c:catAx>
        <c:axId val="15874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7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7472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US$
</a:t>
                </a:r>
              </a:p>
            </c:rich>
          </c:tx>
          <c:layout>
            <c:manualLayout>
              <c:xMode val="edge"/>
              <c:yMode val="edge"/>
              <c:x val="7.6335584955433871E-3"/>
              <c:y val="0.43517206860770308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.0\ _€_-;\-* #\ ##0.0\ _€_-;_-* &quot;-&quot;\ _€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745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096563944735334"/>
          <c:y val="0.92500079350546305"/>
          <c:w val="0.54683773665347668"/>
          <c:h val="4.99998779222364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INVERSIONES EJECUTADAS POR LA DIRECCIÓN GENERAL DE ELECTRIFICACIÓN RURAL
PERÍODO 1995 - 2019</a:t>
            </a:r>
          </a:p>
        </c:rich>
      </c:tx>
      <c:layout>
        <c:manualLayout>
          <c:xMode val="edge"/>
          <c:yMode val="edge"/>
          <c:x val="0.29057315509979859"/>
          <c:y val="1.6621411532191571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6.3123281881061491E-2"/>
          <c:y val="0.18225462346050533"/>
          <c:w val="0.92403203672058076"/>
          <c:h val="0.685852925127690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'10.17.5 Evo.Graficos '!$A$15</c:f>
              <c:strCache>
                <c:ptCount val="1"/>
                <c:pt idx="0">
                  <c:v>Rural (*)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'10.17.5 Evo.Graficos '!$H$12:$AE$12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'10.17.5 Evo.Graficos '!$H$15:$AE$15</c:f>
              <c:numCache>
                <c:formatCode>_-* #\ ##0.0\ _€_-;\-* #\ ##0.0\ _€_-;_-* "-"\ _€_-;_-@_-</c:formatCode>
                <c:ptCount val="24"/>
                <c:pt idx="0">
                  <c:v>135.94999999999999</c:v>
                </c:pt>
                <c:pt idx="1">
                  <c:v>46.558</c:v>
                </c:pt>
                <c:pt idx="2">
                  <c:v>51.488</c:v>
                </c:pt>
                <c:pt idx="3">
                  <c:v>54.64</c:v>
                </c:pt>
                <c:pt idx="4">
                  <c:v>53.411000000000001</c:v>
                </c:pt>
                <c:pt idx="5">
                  <c:v>45.167000000000002</c:v>
                </c:pt>
                <c:pt idx="6">
                  <c:v>17.329999999999998</c:v>
                </c:pt>
                <c:pt idx="7">
                  <c:v>43.427714000000002</c:v>
                </c:pt>
                <c:pt idx="8">
                  <c:v>39.078000000000003</c:v>
                </c:pt>
                <c:pt idx="9">
                  <c:v>45.244</c:v>
                </c:pt>
                <c:pt idx="10">
                  <c:v>33.953000000000003</c:v>
                </c:pt>
                <c:pt idx="11">
                  <c:v>89.927000000000007</c:v>
                </c:pt>
                <c:pt idx="12">
                  <c:v>99.486999999999995</c:v>
                </c:pt>
                <c:pt idx="13">
                  <c:v>184.72200000000001</c:v>
                </c:pt>
                <c:pt idx="14">
                  <c:v>223.376</c:v>
                </c:pt>
                <c:pt idx="15">
                  <c:v>131.27500000000001</c:v>
                </c:pt>
                <c:pt idx="16">
                  <c:v>149.881209301822</c:v>
                </c:pt>
                <c:pt idx="17">
                  <c:v>149.41353189887735</c:v>
                </c:pt>
                <c:pt idx="18">
                  <c:v>111.02398648648649</c:v>
                </c:pt>
                <c:pt idx="19">
                  <c:v>107.14969696969698</c:v>
                </c:pt>
                <c:pt idx="20">
                  <c:v>69.370544918998519</c:v>
                </c:pt>
                <c:pt idx="21">
                  <c:v>101.764751705972</c:v>
                </c:pt>
                <c:pt idx="22">
                  <c:v>106.96315349612163</c:v>
                </c:pt>
                <c:pt idx="23">
                  <c:v>91.252862507112226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CA-4039-97AF-8D1F3FA60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66208"/>
        <c:axId val="158767744"/>
      </c:barChart>
      <c:catAx>
        <c:axId val="1587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76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7677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de US$</a:t>
                </a:r>
              </a:p>
            </c:rich>
          </c:tx>
          <c:layout>
            <c:manualLayout>
              <c:xMode val="edge"/>
              <c:yMode val="edge"/>
              <c:x val="9.1908632755587048E-3"/>
              <c:y val="0.32125833191714348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.0\ _€_-;\-* #\ ##0.0\ _€_-;_-* &quot;-&quot;\ _€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76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LAS INVERSIONES DE LAS EMPRESAS GENERADORAS
PERÍODO 1995 - 2019</a:t>
            </a:r>
          </a:p>
        </c:rich>
      </c:tx>
      <c:layout>
        <c:manualLayout>
          <c:xMode val="edge"/>
          <c:yMode val="edge"/>
          <c:x val="0.31364434569353744"/>
          <c:y val="5.2998119329571998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5.067676876172221E-2"/>
          <c:y val="0.17126000713198891"/>
          <c:w val="0.94162845331636802"/>
          <c:h val="0.67126046252092508"/>
        </c:manualLayout>
      </c:layout>
      <c:lineChart>
        <c:grouping val="standard"/>
        <c:varyColors val="0"/>
        <c:ser>
          <c:idx val="1"/>
          <c:order val="0"/>
          <c:tx>
            <c:strRef>
              <c:f>'10.17.5 Evo.Graficos '!$AK$30</c:f>
              <c:strCache>
                <c:ptCount val="1"/>
                <c:pt idx="0">
                  <c:v>Privada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  <a:effectLst>
              <a:outerShdw blurRad="50800" dist="38100" dir="2700000" algn="tl" rotWithShape="0">
                <a:srgbClr val="00B050">
                  <a:alpha val="40000"/>
                </a:srgbClr>
              </a:outerShdw>
            </a:effectLst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B050"/>
                </a:solidFill>
                <a:prstDash val="solid"/>
              </a:ln>
              <a:effectLst>
                <a:outerShdw blurRad="50800" dist="38100" dir="2700000" algn="tl" rotWithShape="0">
                  <a:srgbClr val="00B050">
                    <a:alpha val="40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'10.17.5 Evo.Graficos '!$AL$28:$BJ$28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'10.17.5 Evo.Graficos '!$AL$30:$BJ$30</c:f>
              <c:numCache>
                <c:formatCode>#,##0</c:formatCode>
                <c:ptCount val="25"/>
                <c:pt idx="0">
                  <c:v>7.6486299999999998</c:v>
                </c:pt>
                <c:pt idx="1">
                  <c:v>97.751459999999994</c:v>
                </c:pt>
                <c:pt idx="2">
                  <c:v>240.20695500000002</c:v>
                </c:pt>
                <c:pt idx="3">
                  <c:v>250.80912799999999</c:v>
                </c:pt>
                <c:pt idx="4">
                  <c:v>280.83041900000001</c:v>
                </c:pt>
                <c:pt idx="5">
                  <c:v>212.40199999999999</c:v>
                </c:pt>
                <c:pt idx="6">
                  <c:v>33.4861</c:v>
                </c:pt>
                <c:pt idx="7">
                  <c:v>30.042000000000002</c:v>
                </c:pt>
                <c:pt idx="8">
                  <c:v>20.0596</c:v>
                </c:pt>
                <c:pt idx="9">
                  <c:v>92.56519999999999</c:v>
                </c:pt>
                <c:pt idx="10">
                  <c:v>139.72464000000002</c:v>
                </c:pt>
                <c:pt idx="11">
                  <c:v>260.3766</c:v>
                </c:pt>
                <c:pt idx="12">
                  <c:v>244.53100000000001</c:v>
                </c:pt>
                <c:pt idx="13">
                  <c:v>457.017</c:v>
                </c:pt>
                <c:pt idx="14">
                  <c:v>359.53399999999999</c:v>
                </c:pt>
                <c:pt idx="15">
                  <c:v>533.52</c:v>
                </c:pt>
                <c:pt idx="16">
                  <c:v>1212.1923652</c:v>
                </c:pt>
                <c:pt idx="17">
                  <c:v>1746.1386604500001</c:v>
                </c:pt>
                <c:pt idx="18">
                  <c:v>1764.6187</c:v>
                </c:pt>
                <c:pt idx="19">
                  <c:v>1767.1702798337028</c:v>
                </c:pt>
                <c:pt idx="20">
                  <c:v>1767.1702798337028</c:v>
                </c:pt>
                <c:pt idx="21">
                  <c:v>938.85761860395303</c:v>
                </c:pt>
                <c:pt idx="22">
                  <c:v>835.50714964695146</c:v>
                </c:pt>
                <c:pt idx="23">
                  <c:v>252.78270118165941</c:v>
                </c:pt>
                <c:pt idx="24">
                  <c:v>177.58205255853528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D3-4D43-8A7C-62323956730F}"/>
            </c:ext>
          </c:extLst>
        </c:ser>
        <c:ser>
          <c:idx val="0"/>
          <c:order val="1"/>
          <c:tx>
            <c:strRef>
              <c:f>'10.17.5 Evo.Graficos '!$AK$31</c:f>
              <c:strCache>
                <c:ptCount val="1"/>
                <c:pt idx="0">
                  <c:v>Pública</c:v>
                </c:pt>
              </c:strCache>
            </c:strRef>
          </c:tx>
          <c:spPr>
            <a:ln>
              <a:solidFill>
                <a:srgbClr val="0000CC"/>
              </a:solidFill>
            </a:ln>
            <a:effectLst/>
          </c:spPr>
          <c:marker>
            <c:spPr>
              <a:gradFill flip="none" rotWithShape="1">
                <a:gsLst>
                  <a:gs pos="0">
                    <a:srgbClr val="000082"/>
                  </a:gs>
                  <a:gs pos="13000">
                    <a:srgbClr val="0047FF"/>
                  </a:gs>
                  <a:gs pos="28000">
                    <a:srgbClr val="000082"/>
                  </a:gs>
                  <a:gs pos="42999">
                    <a:srgbClr val="0047FF"/>
                  </a:gs>
                  <a:gs pos="58000">
                    <a:srgbClr val="000082"/>
                  </a:gs>
                  <a:gs pos="72000">
                    <a:srgbClr val="0047FF"/>
                  </a:gs>
                  <a:gs pos="87000">
                    <a:srgbClr val="000082"/>
                  </a:gs>
                  <a:gs pos="100000">
                    <a:srgbClr val="0047FF"/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solidFill>
                  <a:srgbClr val="0000CC"/>
                </a:solidFill>
              </a:ln>
              <a:effectLst/>
            </c:spPr>
          </c:marker>
          <c:cat>
            <c:numRef>
              <c:f>'10.17.5 Evo.Graficos '!$AL$28:$BJ$28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'10.17.5 Evo.Graficos '!$AL$31:$BJ$31</c:f>
              <c:numCache>
                <c:formatCode>#,##0</c:formatCode>
                <c:ptCount val="25"/>
                <c:pt idx="0">
                  <c:v>38.418108999999994</c:v>
                </c:pt>
                <c:pt idx="1">
                  <c:v>65.267437000000001</c:v>
                </c:pt>
                <c:pt idx="2">
                  <c:v>103.23717600000001</c:v>
                </c:pt>
                <c:pt idx="3">
                  <c:v>114.53911300000001</c:v>
                </c:pt>
                <c:pt idx="4">
                  <c:v>136.331909</c:v>
                </c:pt>
                <c:pt idx="5">
                  <c:v>123.21599999999999</c:v>
                </c:pt>
                <c:pt idx="6">
                  <c:v>76.277079999999998</c:v>
                </c:pt>
                <c:pt idx="7">
                  <c:v>77.798000000000002</c:v>
                </c:pt>
                <c:pt idx="8">
                  <c:v>67.105500000000006</c:v>
                </c:pt>
                <c:pt idx="9">
                  <c:v>67.001220000000004</c:v>
                </c:pt>
                <c:pt idx="10">
                  <c:v>53.766709999999996</c:v>
                </c:pt>
                <c:pt idx="11">
                  <c:v>29.19792</c:v>
                </c:pt>
                <c:pt idx="12">
                  <c:v>73.499299999999991</c:v>
                </c:pt>
                <c:pt idx="13">
                  <c:v>26.513000000000002</c:v>
                </c:pt>
                <c:pt idx="14">
                  <c:v>88.849000000000004</c:v>
                </c:pt>
                <c:pt idx="15">
                  <c:v>25.114000000000001</c:v>
                </c:pt>
                <c:pt idx="16">
                  <c:v>28.595700000000001</c:v>
                </c:pt>
                <c:pt idx="17">
                  <c:v>35.28</c:v>
                </c:pt>
                <c:pt idx="18">
                  <c:v>65.214799999999997</c:v>
                </c:pt>
                <c:pt idx="19">
                  <c:v>62.090520000000005</c:v>
                </c:pt>
                <c:pt idx="20">
                  <c:v>62.090520000000005</c:v>
                </c:pt>
                <c:pt idx="21">
                  <c:v>26.982600426796537</c:v>
                </c:pt>
                <c:pt idx="22">
                  <c:v>20.363104461214196</c:v>
                </c:pt>
                <c:pt idx="23">
                  <c:v>17.920288498428814</c:v>
                </c:pt>
                <c:pt idx="24">
                  <c:v>19.748448735896876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D3-4D43-8A7C-62323956730F}"/>
            </c:ext>
          </c:extLst>
        </c:ser>
        <c:ser>
          <c:idx val="2"/>
          <c:order val="2"/>
          <c:tx>
            <c:strRef>
              <c:f>'10.17.5 Evo.Graficos '!$AK$29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pPr>
              <a:gradFill>
                <a:gsLst>
                  <a:gs pos="0">
                    <a:srgbClr val="8488C4"/>
                  </a:gs>
                  <a:gs pos="53000">
                    <a:srgbClr val="D4DEFF"/>
                  </a:gs>
                  <a:gs pos="83000">
                    <a:srgbClr val="D4DEFF"/>
                  </a:gs>
                  <a:gs pos="100000">
                    <a:srgbClr val="96AB94"/>
                  </a:gs>
                </a:gsLst>
                <a:lin ang="5400000" scaled="0"/>
              </a:gradFill>
              <a:ln>
                <a:solidFill>
                  <a:srgbClr val="FF0000"/>
                </a:solidFill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</c:marker>
          <c:dLbls>
            <c:dLbl>
              <c:idx val="3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'10.17.5 Evo.Graficos '!$AL$28:$BJ$28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'10.17.5 Evo.Graficos '!$AL$29:$BJ$29</c:f>
              <c:numCache>
                <c:formatCode>#,##0</c:formatCode>
                <c:ptCount val="25"/>
                <c:pt idx="0">
                  <c:v>46.066738999999991</c:v>
                </c:pt>
                <c:pt idx="1">
                  <c:v>163.01889700000001</c:v>
                </c:pt>
                <c:pt idx="2">
                  <c:v>343.44413100000003</c:v>
                </c:pt>
                <c:pt idx="3">
                  <c:v>365.34824100000003</c:v>
                </c:pt>
                <c:pt idx="4">
                  <c:v>417.162328</c:v>
                </c:pt>
                <c:pt idx="5">
                  <c:v>335.61799999999999</c:v>
                </c:pt>
                <c:pt idx="6">
                  <c:v>109.76317999999999</c:v>
                </c:pt>
                <c:pt idx="7">
                  <c:v>107.84</c:v>
                </c:pt>
                <c:pt idx="8">
                  <c:v>87.16510000000001</c:v>
                </c:pt>
                <c:pt idx="9">
                  <c:v>159.56641999999999</c:v>
                </c:pt>
                <c:pt idx="10">
                  <c:v>193.49135000000001</c:v>
                </c:pt>
                <c:pt idx="11">
                  <c:v>289.57452000000001</c:v>
                </c:pt>
                <c:pt idx="12">
                  <c:v>318.03030000000001</c:v>
                </c:pt>
                <c:pt idx="13">
                  <c:v>483.53</c:v>
                </c:pt>
                <c:pt idx="14">
                  <c:v>448.38299999999998</c:v>
                </c:pt>
                <c:pt idx="15">
                  <c:v>558.63400000000001</c:v>
                </c:pt>
                <c:pt idx="16">
                  <c:v>1240.7880652000001</c:v>
                </c:pt>
                <c:pt idx="17">
                  <c:v>1781.4186604500001</c:v>
                </c:pt>
                <c:pt idx="18">
                  <c:v>1829.8335</c:v>
                </c:pt>
                <c:pt idx="19">
                  <c:v>1829.2607998337028</c:v>
                </c:pt>
                <c:pt idx="20">
                  <c:v>1829.2607998337028</c:v>
                </c:pt>
                <c:pt idx="21">
                  <c:v>965.84021903074961</c:v>
                </c:pt>
                <c:pt idx="22">
                  <c:v>855.87025410816568</c:v>
                </c:pt>
                <c:pt idx="23">
                  <c:v>270.70298968008819</c:v>
                </c:pt>
                <c:pt idx="24">
                  <c:v>197.33050129443217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CD3-4D43-8A7C-623239567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83360"/>
        <c:axId val="158784896"/>
      </c:lineChart>
      <c:catAx>
        <c:axId val="15878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78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7848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US$
</a:t>
                </a:r>
              </a:p>
            </c:rich>
          </c:tx>
          <c:layout>
            <c:manualLayout>
              <c:xMode val="edge"/>
              <c:yMode val="edge"/>
              <c:x val="7.3446826213861074E-3"/>
              <c:y val="0.37208403083472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783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285070373270482"/>
          <c:y val="0.91251307169281004"/>
          <c:w val="0.36986309573494125"/>
          <c:h val="6.0606154545642443E-2"/>
        </c:manualLayout>
      </c:layout>
      <c:overlay val="0"/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RESUMEN - TOTAL DE INVERSIÓN HISTÓRICA ACUMULADA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PERIODO 1995 - 2019</a:t>
            </a:r>
          </a:p>
        </c:rich>
      </c:tx>
      <c:layout>
        <c:manualLayout>
          <c:xMode val="edge"/>
          <c:yMode val="edge"/>
          <c:x val="0.20777026887387109"/>
          <c:y val="4.1766725799591259E-2"/>
        </c:manualLayout>
      </c:layout>
      <c:overlay val="0"/>
      <c:spPr>
        <a:solidFill>
          <a:srgbClr val="3798AF"/>
        </a:solidFill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66663911105602"/>
          <c:y val="0.2747155913811169"/>
          <c:w val="0.48295134368046505"/>
          <c:h val="0.45389789715020801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F0F-4E54-81E4-88CA07A3C7B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F0F-4E54-81E4-88CA07A3C7B8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F0F-4E54-81E4-88CA07A3C7B8}"/>
              </c:ext>
            </c:extLst>
          </c:dPt>
          <c:dLbls>
            <c:dLbl>
              <c:idx val="0"/>
              <c:layout>
                <c:manualLayout>
                  <c:x val="0.18684660480432072"/>
                  <c:y val="-3.8282862863485939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6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Estatal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6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13,3%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F0F-4E54-81E4-88CA07A3C7B8}"/>
                </c:ext>
              </c:extLst>
            </c:dLbl>
            <c:dLbl>
              <c:idx val="1"/>
              <c:layout>
                <c:manualLayout>
                  <c:x val="-0.20728708124082915"/>
                  <c:y val="-8.462938180158310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6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Privada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6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78,5%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F0F-4E54-81E4-88CA07A3C7B8}"/>
                </c:ext>
              </c:extLst>
            </c:dLbl>
            <c:dLbl>
              <c:idx val="2"/>
              <c:layout>
                <c:manualLayout>
                  <c:x val="-0.15896418459503586"/>
                  <c:y val="4.0929113109873121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6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Rural *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6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8,2%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F0F-4E54-81E4-88CA07A3C7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'10.17.5 Evo.Graficos '!$A$13:$A$15</c:f>
              <c:strCache>
                <c:ptCount val="3"/>
                <c:pt idx="0">
                  <c:v>Estatal</c:v>
                </c:pt>
                <c:pt idx="1">
                  <c:v>Privada</c:v>
                </c:pt>
                <c:pt idx="2">
                  <c:v>Rural (*)</c:v>
                </c:pt>
              </c:strCache>
            </c:strRef>
          </c:cat>
          <c:val>
            <c:numRef>
              <c:f>'10.17.5 Evo.Graficos '!$AM$71:$AM$73</c:f>
              <c:numCache>
                <c:formatCode>0.0%</c:formatCode>
                <c:ptCount val="3"/>
                <c:pt idx="0">
                  <c:v>0.13497368558765796</c:v>
                </c:pt>
                <c:pt idx="1">
                  <c:v>0.78010681420596606</c:v>
                </c:pt>
                <c:pt idx="2">
                  <c:v>8.4919500206376106E-2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F0F-4E54-81E4-88CA07A3C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LAS INVERSIONES DE LAS EMPRESAS DISTRIBUIDORAS
PERÍODO 1995- 2019</a:t>
            </a:r>
          </a:p>
        </c:rich>
      </c:tx>
      <c:layout>
        <c:manualLayout>
          <c:xMode val="edge"/>
          <c:yMode val="edge"/>
          <c:x val="0.30270318729050555"/>
          <c:y val="2.3863461900887607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4.1208338486485002E-2"/>
          <c:y val="0.14886177353137109"/>
          <c:w val="0.95220381745475535"/>
          <c:h val="0.70811497074249252"/>
        </c:manualLayout>
      </c:layout>
      <c:lineChart>
        <c:grouping val="standard"/>
        <c:varyColors val="0"/>
        <c:ser>
          <c:idx val="1"/>
          <c:order val="0"/>
          <c:tx>
            <c:strRef>
              <c:f>'10.17.5 Evo.Graficos '!$AK$59</c:f>
              <c:strCache>
                <c:ptCount val="1"/>
                <c:pt idx="0">
                  <c:v>Privada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  <a:effectLst>
              <a:outerShdw blurRad="50800" dist="38100" dir="2700000" algn="tl" rotWithShape="0">
                <a:srgbClr val="00B050">
                  <a:alpha val="40000"/>
                </a:srgbClr>
              </a:outerShdw>
            </a:effectLst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B050"/>
                </a:solidFill>
                <a:prstDash val="solid"/>
              </a:ln>
              <a:effectLst>
                <a:outerShdw blurRad="50800" dist="38100" dir="2700000" algn="tl" rotWithShape="0">
                  <a:srgbClr val="00B050">
                    <a:alpha val="40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'10.17.5 Evo.Graficos '!$AL$57:$BJ$57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'10.17.5 Evo.Graficos '!$AL$59:$BJ$59</c:f>
              <c:numCache>
                <c:formatCode>#,##0</c:formatCode>
                <c:ptCount val="25"/>
                <c:pt idx="0">
                  <c:v>58.517000000000003</c:v>
                </c:pt>
                <c:pt idx="1">
                  <c:v>98.169709999999995</c:v>
                </c:pt>
                <c:pt idx="2">
                  <c:v>99.528959999999998</c:v>
                </c:pt>
                <c:pt idx="3">
                  <c:v>94.407959999999989</c:v>
                </c:pt>
                <c:pt idx="4">
                  <c:v>87.425529999999995</c:v>
                </c:pt>
                <c:pt idx="5">
                  <c:v>123.11799999999999</c:v>
                </c:pt>
                <c:pt idx="6">
                  <c:v>118.71619</c:v>
                </c:pt>
                <c:pt idx="7">
                  <c:v>65.021000000000001</c:v>
                </c:pt>
                <c:pt idx="8">
                  <c:v>48.238500000000002</c:v>
                </c:pt>
                <c:pt idx="9">
                  <c:v>51.620899999999999</c:v>
                </c:pt>
                <c:pt idx="10">
                  <c:v>70.70308</c:v>
                </c:pt>
                <c:pt idx="11">
                  <c:v>73.539000000000001</c:v>
                </c:pt>
                <c:pt idx="12">
                  <c:v>85.180669999999992</c:v>
                </c:pt>
                <c:pt idx="13">
                  <c:v>133.536</c:v>
                </c:pt>
                <c:pt idx="14">
                  <c:v>127.93300000000001</c:v>
                </c:pt>
                <c:pt idx="15">
                  <c:v>112.675</c:v>
                </c:pt>
                <c:pt idx="16">
                  <c:v>151.01259999999999</c:v>
                </c:pt>
                <c:pt idx="17">
                  <c:v>251.02120000000002</c:v>
                </c:pt>
                <c:pt idx="18">
                  <c:v>277.2604</c:v>
                </c:pt>
                <c:pt idx="19">
                  <c:v>285.05428000000001</c:v>
                </c:pt>
                <c:pt idx="20">
                  <c:v>285.05428000000001</c:v>
                </c:pt>
                <c:pt idx="21">
                  <c:v>264.67293591875591</c:v>
                </c:pt>
                <c:pt idx="22">
                  <c:v>260.74247630621966</c:v>
                </c:pt>
                <c:pt idx="23">
                  <c:v>246.4051649705215</c:v>
                </c:pt>
                <c:pt idx="24">
                  <c:v>118.56270805092555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F2-4E56-A08D-F45EA26E102D}"/>
            </c:ext>
          </c:extLst>
        </c:ser>
        <c:ser>
          <c:idx val="0"/>
          <c:order val="1"/>
          <c:tx>
            <c:strRef>
              <c:f>'10.17.5 Evo.Graficos '!$AK$60</c:f>
              <c:strCache>
                <c:ptCount val="1"/>
                <c:pt idx="0">
                  <c:v>Pública</c:v>
                </c:pt>
              </c:strCache>
            </c:strRef>
          </c:tx>
          <c:spPr>
            <a:ln>
              <a:solidFill>
                <a:srgbClr val="0000CC"/>
              </a:solidFill>
            </a:ln>
            <a:effectLst/>
          </c:spPr>
          <c:marker>
            <c:spPr>
              <a:gradFill flip="none" rotWithShape="1">
                <a:gsLst>
                  <a:gs pos="0">
                    <a:srgbClr val="000082"/>
                  </a:gs>
                  <a:gs pos="13000">
                    <a:srgbClr val="0047FF"/>
                  </a:gs>
                  <a:gs pos="28000">
                    <a:srgbClr val="000082"/>
                  </a:gs>
                  <a:gs pos="42999">
                    <a:srgbClr val="0047FF"/>
                  </a:gs>
                  <a:gs pos="58000">
                    <a:srgbClr val="000082"/>
                  </a:gs>
                  <a:gs pos="72000">
                    <a:srgbClr val="0047FF"/>
                  </a:gs>
                  <a:gs pos="87000">
                    <a:srgbClr val="000082"/>
                  </a:gs>
                  <a:gs pos="100000">
                    <a:srgbClr val="0047FF"/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solidFill>
                  <a:srgbClr val="0000CC"/>
                </a:solidFill>
              </a:ln>
              <a:effectLst/>
            </c:spPr>
          </c:marker>
          <c:cat>
            <c:numRef>
              <c:f>'10.17.5 Evo.Graficos '!$AL$57:$BJ$57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'10.17.5 Evo.Graficos '!$AL$60:$BJ$60</c:f>
              <c:numCache>
                <c:formatCode>0</c:formatCode>
                <c:ptCount val="25"/>
                <c:pt idx="0">
                  <c:v>104.88224000000001</c:v>
                </c:pt>
                <c:pt idx="1">
                  <c:v>95.107770000000002</c:v>
                </c:pt>
                <c:pt idx="2">
                  <c:v>71.932009999999991</c:v>
                </c:pt>
                <c:pt idx="3">
                  <c:v>42.096959999999989</c:v>
                </c:pt>
                <c:pt idx="4">
                  <c:v>34.074750011834318</c:v>
                </c:pt>
                <c:pt idx="5">
                  <c:v>16.082999999999998</c:v>
                </c:pt>
                <c:pt idx="6">
                  <c:v>15.665599999999998</c:v>
                </c:pt>
                <c:pt idx="7">
                  <c:v>31.68</c:v>
                </c:pt>
                <c:pt idx="8">
                  <c:v>43.72654</c:v>
                </c:pt>
                <c:pt idx="9">
                  <c:v>49.11421</c:v>
                </c:pt>
                <c:pt idx="10">
                  <c:v>63.639319999999998</c:v>
                </c:pt>
                <c:pt idx="11">
                  <c:v>66.543580000000006</c:v>
                </c:pt>
                <c:pt idx="12">
                  <c:v>66.215899999999991</c:v>
                </c:pt>
                <c:pt idx="13">
                  <c:v>102.369</c:v>
                </c:pt>
                <c:pt idx="14">
                  <c:v>161.13200000000001</c:v>
                </c:pt>
                <c:pt idx="15">
                  <c:v>140.49700000000001</c:v>
                </c:pt>
                <c:pt idx="16">
                  <c:v>78.378</c:v>
                </c:pt>
                <c:pt idx="17">
                  <c:v>86.343000000000004</c:v>
                </c:pt>
                <c:pt idx="18">
                  <c:v>144.10810000000001</c:v>
                </c:pt>
                <c:pt idx="19">
                  <c:v>116.24097350396769</c:v>
                </c:pt>
                <c:pt idx="20">
                  <c:v>116.24097350396769</c:v>
                </c:pt>
                <c:pt idx="21">
                  <c:v>99.991755357142864</c:v>
                </c:pt>
                <c:pt idx="22">
                  <c:v>31.644857294849782</c:v>
                </c:pt>
                <c:pt idx="23">
                  <c:v>60.534053964794722</c:v>
                </c:pt>
                <c:pt idx="24">
                  <c:v>150.25602725612583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F2-4E56-A08D-F45EA26E102D}"/>
            </c:ext>
          </c:extLst>
        </c:ser>
        <c:ser>
          <c:idx val="2"/>
          <c:order val="2"/>
          <c:tx>
            <c:strRef>
              <c:f>'10.17.5 Evo.Graficos '!$AK$58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pPr>
              <a:gradFill>
                <a:gsLst>
                  <a:gs pos="0">
                    <a:srgbClr val="8488C4"/>
                  </a:gs>
                  <a:gs pos="53000">
                    <a:srgbClr val="D4DEFF"/>
                  </a:gs>
                  <a:gs pos="83000">
                    <a:srgbClr val="D4DEFF"/>
                  </a:gs>
                  <a:gs pos="100000">
                    <a:srgbClr val="96AB94"/>
                  </a:gs>
                </a:gsLst>
                <a:lin ang="5400000" scaled="0"/>
              </a:gradFill>
              <a:ln>
                <a:solidFill>
                  <a:srgbClr val="FF0000"/>
                </a:solidFill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'10.17.5 Evo.Graficos '!$AL$57:$BJ$57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'10.17.5 Evo.Graficos '!$AL$58:$BJ$58</c:f>
              <c:numCache>
                <c:formatCode>#,##0</c:formatCode>
                <c:ptCount val="25"/>
                <c:pt idx="0">
                  <c:v>163.39924000000002</c:v>
                </c:pt>
                <c:pt idx="1">
                  <c:v>193.27748</c:v>
                </c:pt>
                <c:pt idx="2">
                  <c:v>171.46096999999997</c:v>
                </c:pt>
                <c:pt idx="3">
                  <c:v>136.50491999999997</c:v>
                </c:pt>
                <c:pt idx="4">
                  <c:v>121.50028001183432</c:v>
                </c:pt>
                <c:pt idx="5">
                  <c:v>139.20099999999999</c:v>
                </c:pt>
                <c:pt idx="6">
                  <c:v>134.38179</c:v>
                </c:pt>
                <c:pt idx="7">
                  <c:v>96.700999999999993</c:v>
                </c:pt>
                <c:pt idx="8">
                  <c:v>91.965040000000002</c:v>
                </c:pt>
                <c:pt idx="9">
                  <c:v>100.73510999999999</c:v>
                </c:pt>
                <c:pt idx="10">
                  <c:v>134.3424</c:v>
                </c:pt>
                <c:pt idx="11">
                  <c:v>140.08258000000001</c:v>
                </c:pt>
                <c:pt idx="12">
                  <c:v>151.39657</c:v>
                </c:pt>
                <c:pt idx="13">
                  <c:v>235.905</c:v>
                </c:pt>
                <c:pt idx="14">
                  <c:v>289.065</c:v>
                </c:pt>
                <c:pt idx="15">
                  <c:v>253.17200000000003</c:v>
                </c:pt>
                <c:pt idx="16">
                  <c:v>229.39060000000001</c:v>
                </c:pt>
                <c:pt idx="17">
                  <c:v>337.36420000000004</c:v>
                </c:pt>
                <c:pt idx="18">
                  <c:v>421.36850000000004</c:v>
                </c:pt>
                <c:pt idx="19">
                  <c:v>401.29525350396773</c:v>
                </c:pt>
                <c:pt idx="20">
                  <c:v>401.29525350396773</c:v>
                </c:pt>
                <c:pt idx="21">
                  <c:v>364.6646912758988</c:v>
                </c:pt>
                <c:pt idx="22">
                  <c:v>292.38733360106943</c:v>
                </c:pt>
                <c:pt idx="23">
                  <c:v>306.93921893531621</c:v>
                </c:pt>
                <c:pt idx="24">
                  <c:v>268.81873530705138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6F2-4E56-A08D-F45EA26E1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2640"/>
        <c:axId val="160518528"/>
      </c:lineChart>
      <c:catAx>
        <c:axId val="16051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051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5185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US$
</a:t>
                </a:r>
              </a:p>
            </c:rich>
          </c:tx>
          <c:layout>
            <c:manualLayout>
              <c:xMode val="edge"/>
              <c:yMode val="edge"/>
              <c:x val="2.5822540444409184E-3"/>
              <c:y val="0.317914603931951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0512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739357517338037"/>
          <c:y val="0.91924725696503351"/>
          <c:w val="0.36986305427186839"/>
          <c:h val="6.0606294615975109E-2"/>
        </c:manualLayout>
      </c:layout>
      <c:overlay val="0"/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105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EVOLUCIÓN DE LAS INVERSIONES DE LAS EMPRESAS TRANSMISORAS</a:t>
            </a:r>
          </a:p>
          <a:p>
            <a:pPr>
              <a:defRPr sz="2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105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PERÍODO 1995 - 2019</a:t>
            </a:r>
          </a:p>
        </c:rich>
      </c:tx>
      <c:layout>
        <c:manualLayout>
          <c:xMode val="edge"/>
          <c:yMode val="edge"/>
          <c:x val="0.33218049258994142"/>
          <c:y val="6.216338188187398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4.7465806931613869E-2"/>
          <c:y val="0.15631277820560868"/>
          <c:w val="0.94573671991788433"/>
          <c:h val="0.68871138602664639"/>
        </c:manualLayout>
      </c:layout>
      <c:lineChart>
        <c:grouping val="standard"/>
        <c:varyColors val="0"/>
        <c:ser>
          <c:idx val="1"/>
          <c:order val="0"/>
          <c:tx>
            <c:strRef>
              <c:f>'10.17.5 Evo.Graficos '!$AK$42</c:f>
              <c:strCache>
                <c:ptCount val="1"/>
                <c:pt idx="0">
                  <c:v>Privada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  <a:effectLst>
              <a:outerShdw blurRad="50800" dist="38100" dir="2700000" algn="tl" rotWithShape="0">
                <a:srgbClr val="00B050">
                  <a:alpha val="40000"/>
                </a:srgbClr>
              </a:outerShdw>
            </a:effectLst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B050"/>
                </a:solidFill>
                <a:prstDash val="solid"/>
              </a:ln>
              <a:effectLst>
                <a:outerShdw blurRad="50800" dist="38100" dir="2700000" algn="tl" rotWithShape="0">
                  <a:srgbClr val="00B050">
                    <a:alpha val="40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'10.17.5 Evo.Graficos '!$AL$40:$BJ$40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'10.17.5 Evo.Graficos '!$AL$42:$BJ$42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13.488</c:v>
                </c:pt>
                <c:pt idx="4">
                  <c:v>139.48872</c:v>
                </c:pt>
                <c:pt idx="5">
                  <c:v>102.249</c:v>
                </c:pt>
                <c:pt idx="6">
                  <c:v>58.627000000000002</c:v>
                </c:pt>
                <c:pt idx="7">
                  <c:v>37.28</c:v>
                </c:pt>
                <c:pt idx="8">
                  <c:v>12.825610000000001</c:v>
                </c:pt>
                <c:pt idx="9">
                  <c:v>24.365860000000001</c:v>
                </c:pt>
                <c:pt idx="10">
                  <c:v>20.633900000000001</c:v>
                </c:pt>
                <c:pt idx="11">
                  <c:v>16.54345</c:v>
                </c:pt>
                <c:pt idx="12">
                  <c:v>69.635899999999992</c:v>
                </c:pt>
                <c:pt idx="13">
                  <c:v>43.106000000000002</c:v>
                </c:pt>
                <c:pt idx="14">
                  <c:v>254.363</c:v>
                </c:pt>
                <c:pt idx="15">
                  <c:v>332.55700000000002</c:v>
                </c:pt>
                <c:pt idx="16">
                  <c:v>278.54599999999999</c:v>
                </c:pt>
                <c:pt idx="17">
                  <c:v>470.27</c:v>
                </c:pt>
                <c:pt idx="18">
                  <c:v>188.4134</c:v>
                </c:pt>
                <c:pt idx="19">
                  <c:v>244.01244188000001</c:v>
                </c:pt>
                <c:pt idx="20">
                  <c:v>244.01244188000001</c:v>
                </c:pt>
                <c:pt idx="21">
                  <c:v>398.28611609000006</c:v>
                </c:pt>
                <c:pt idx="22">
                  <c:v>269.02376026833315</c:v>
                </c:pt>
                <c:pt idx="23">
                  <c:v>81.554137765000007</c:v>
                </c:pt>
                <c:pt idx="24">
                  <c:v>152.23425350425475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AB3-41DF-AE08-6EBBC355607F}"/>
            </c:ext>
          </c:extLst>
        </c:ser>
        <c:ser>
          <c:idx val="0"/>
          <c:order val="1"/>
          <c:tx>
            <c:strRef>
              <c:f>'10.17.5 Evo.Graficos '!$AK$43</c:f>
              <c:strCache>
                <c:ptCount val="1"/>
                <c:pt idx="0">
                  <c:v>Pública</c:v>
                </c:pt>
              </c:strCache>
            </c:strRef>
          </c:tx>
          <c:spPr>
            <a:ln>
              <a:solidFill>
                <a:srgbClr val="0000CC"/>
              </a:solidFill>
            </a:ln>
            <a:effectLst/>
          </c:spPr>
          <c:marker>
            <c:spPr>
              <a:gradFill flip="none" rotWithShape="1">
                <a:gsLst>
                  <a:gs pos="0">
                    <a:srgbClr val="000082"/>
                  </a:gs>
                  <a:gs pos="13000">
                    <a:srgbClr val="0047FF"/>
                  </a:gs>
                  <a:gs pos="28000">
                    <a:srgbClr val="000082"/>
                  </a:gs>
                  <a:gs pos="42999">
                    <a:srgbClr val="0047FF"/>
                  </a:gs>
                  <a:gs pos="58000">
                    <a:srgbClr val="000082"/>
                  </a:gs>
                  <a:gs pos="72000">
                    <a:srgbClr val="0047FF"/>
                  </a:gs>
                  <a:gs pos="87000">
                    <a:srgbClr val="000082"/>
                  </a:gs>
                  <a:gs pos="100000">
                    <a:srgbClr val="0047FF"/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solidFill>
                  <a:srgbClr val="0000CC"/>
                </a:solidFill>
              </a:ln>
              <a:effectLst/>
            </c:spPr>
          </c:marker>
          <c:cat>
            <c:numRef>
              <c:f>'10.17.5 Evo.Graficos '!$AL$40:$BJ$40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'10.17.5 Evo.Graficos '!$AL$43:$BJ$43</c:f>
              <c:numCache>
                <c:formatCode>0</c:formatCode>
                <c:ptCount val="25"/>
                <c:pt idx="0">
                  <c:v>11.412649999999999</c:v>
                </c:pt>
                <c:pt idx="1">
                  <c:v>16.600999999999999</c:v>
                </c:pt>
                <c:pt idx="2">
                  <c:v>32.720779999999998</c:v>
                </c:pt>
                <c:pt idx="3">
                  <c:v>46.155270000000002</c:v>
                </c:pt>
                <c:pt idx="4">
                  <c:v>31.317900000000002</c:v>
                </c:pt>
                <c:pt idx="5">
                  <c:v>26.69</c:v>
                </c:pt>
                <c:pt idx="6">
                  <c:v>3.1160000000000001</c:v>
                </c:pt>
                <c:pt idx="7">
                  <c:v>0.377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B3-41DF-AE08-6EBBC355607F}"/>
            </c:ext>
          </c:extLst>
        </c:ser>
        <c:ser>
          <c:idx val="2"/>
          <c:order val="2"/>
          <c:tx>
            <c:strRef>
              <c:f>'10.17.5 Evo.Graficos '!$AK$41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'10.17.5 Evo.Graficos '!$AL$40:$BJ$40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'10.17.5 Evo.Graficos '!$AL$41:$BJ$41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59.643270000000001</c:v>
                </c:pt>
                <c:pt idx="4">
                  <c:v>170.80662000000001</c:v>
                </c:pt>
                <c:pt idx="5">
                  <c:v>128.93899999999999</c:v>
                </c:pt>
                <c:pt idx="6">
                  <c:v>61.743000000000002</c:v>
                </c:pt>
                <c:pt idx="7">
                  <c:v>37.657000000000004</c:v>
                </c:pt>
                <c:pt idx="8">
                  <c:v>12.825610000000001</c:v>
                </c:pt>
                <c:pt idx="9">
                  <c:v>24.365860000000001</c:v>
                </c:pt>
                <c:pt idx="10">
                  <c:v>20.633900000000001</c:v>
                </c:pt>
                <c:pt idx="11">
                  <c:v>16.54345</c:v>
                </c:pt>
                <c:pt idx="12">
                  <c:v>69.635899999999992</c:v>
                </c:pt>
                <c:pt idx="13">
                  <c:v>43.106000000000002</c:v>
                </c:pt>
                <c:pt idx="14">
                  <c:v>254.363</c:v>
                </c:pt>
                <c:pt idx="15">
                  <c:v>332.55700000000002</c:v>
                </c:pt>
                <c:pt idx="16">
                  <c:v>278.54599999999999</c:v>
                </c:pt>
                <c:pt idx="17">
                  <c:v>470.27</c:v>
                </c:pt>
                <c:pt idx="18">
                  <c:v>188.4134</c:v>
                </c:pt>
                <c:pt idx="19">
                  <c:v>244.01244188000001</c:v>
                </c:pt>
                <c:pt idx="20">
                  <c:v>244.01244188000001</c:v>
                </c:pt>
                <c:pt idx="21">
                  <c:v>398.28611609000006</c:v>
                </c:pt>
                <c:pt idx="22">
                  <c:v>269.02376026833315</c:v>
                </c:pt>
                <c:pt idx="23">
                  <c:v>81.554137765000007</c:v>
                </c:pt>
                <c:pt idx="24">
                  <c:v>152.23425350425475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AB3-41DF-AE08-6EBBC3556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29408"/>
        <c:axId val="160535296"/>
      </c:lineChart>
      <c:catAx>
        <c:axId val="1605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053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5352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US$
</a:t>
                </a:r>
              </a:p>
            </c:rich>
          </c:tx>
          <c:layout>
            <c:manualLayout>
              <c:xMode val="edge"/>
              <c:yMode val="edge"/>
              <c:x val="4.3032954214056581E-3"/>
              <c:y val="0.350448508565687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0529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520369044778492"/>
          <c:y val="0.91913948632172482"/>
          <c:w val="0.36962061560486759"/>
          <c:h val="6.0453295041526633E-2"/>
        </c:manualLayout>
      </c:layout>
      <c:overlay val="0"/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/>
      </a:solidFill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" r="0.750000000000001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26327170241795E-2"/>
          <c:y val="2.100930933850912E-2"/>
          <c:w val="0.94158178566586304"/>
          <c:h val="0.86301852209215635"/>
        </c:manualLayout>
      </c:layout>
      <c:barChart>
        <c:barDir val="col"/>
        <c:grouping val="clustered"/>
        <c:varyColors val="0"/>
        <c:ser>
          <c:idx val="0"/>
          <c:order val="0"/>
          <c:tx>
            <c:v>Costo Marginal de Corto Plazo</c:v>
          </c:tx>
          <c:spPr>
            <a:solidFill>
              <a:schemeClr val="accent1"/>
            </a:solidFill>
          </c:spPr>
          <c:invertIfNegative val="0"/>
          <c:cat>
            <c:numRef>
              <c:f>'10.18 CMg'!$S$42:$S$173</c:f>
              <c:numCache>
                <c:formatCode>mmm\-yy</c:formatCode>
                <c:ptCount val="132"/>
                <c:pt idx="0">
                  <c:v>39814</c:v>
                </c:pt>
                <c:pt idx="2">
                  <c:v>39873</c:v>
                </c:pt>
                <c:pt idx="4">
                  <c:v>39934</c:v>
                </c:pt>
                <c:pt idx="6">
                  <c:v>39995</c:v>
                </c:pt>
                <c:pt idx="8">
                  <c:v>40057</c:v>
                </c:pt>
                <c:pt idx="10">
                  <c:v>40118</c:v>
                </c:pt>
                <c:pt idx="12">
                  <c:v>40179</c:v>
                </c:pt>
                <c:pt idx="14">
                  <c:v>40238</c:v>
                </c:pt>
                <c:pt idx="16">
                  <c:v>40299</c:v>
                </c:pt>
                <c:pt idx="18">
                  <c:v>40360</c:v>
                </c:pt>
                <c:pt idx="20">
                  <c:v>40422</c:v>
                </c:pt>
                <c:pt idx="22">
                  <c:v>40483</c:v>
                </c:pt>
                <c:pt idx="24">
                  <c:v>40544</c:v>
                </c:pt>
                <c:pt idx="26">
                  <c:v>40603</c:v>
                </c:pt>
                <c:pt idx="28">
                  <c:v>40664</c:v>
                </c:pt>
                <c:pt idx="30">
                  <c:v>40725</c:v>
                </c:pt>
                <c:pt idx="32">
                  <c:v>40787</c:v>
                </c:pt>
                <c:pt idx="34">
                  <c:v>40848</c:v>
                </c:pt>
                <c:pt idx="36">
                  <c:v>40909</c:v>
                </c:pt>
                <c:pt idx="38">
                  <c:v>40969</c:v>
                </c:pt>
                <c:pt idx="40">
                  <c:v>41030</c:v>
                </c:pt>
                <c:pt idx="42">
                  <c:v>41091</c:v>
                </c:pt>
                <c:pt idx="44">
                  <c:v>41153</c:v>
                </c:pt>
                <c:pt idx="46">
                  <c:v>41214</c:v>
                </c:pt>
                <c:pt idx="48">
                  <c:v>41275</c:v>
                </c:pt>
                <c:pt idx="50">
                  <c:v>41334</c:v>
                </c:pt>
                <c:pt idx="52">
                  <c:v>41395</c:v>
                </c:pt>
                <c:pt idx="54">
                  <c:v>41456</c:v>
                </c:pt>
                <c:pt idx="56">
                  <c:v>41518</c:v>
                </c:pt>
                <c:pt idx="58">
                  <c:v>41579</c:v>
                </c:pt>
                <c:pt idx="60">
                  <c:v>41640</c:v>
                </c:pt>
                <c:pt idx="62">
                  <c:v>41699</c:v>
                </c:pt>
                <c:pt idx="64">
                  <c:v>41760</c:v>
                </c:pt>
                <c:pt idx="66">
                  <c:v>41821</c:v>
                </c:pt>
                <c:pt idx="68">
                  <c:v>41883</c:v>
                </c:pt>
                <c:pt idx="70">
                  <c:v>41944</c:v>
                </c:pt>
                <c:pt idx="72">
                  <c:v>42005</c:v>
                </c:pt>
                <c:pt idx="74">
                  <c:v>42064</c:v>
                </c:pt>
                <c:pt idx="76">
                  <c:v>42125</c:v>
                </c:pt>
                <c:pt idx="78">
                  <c:v>42186</c:v>
                </c:pt>
                <c:pt idx="80">
                  <c:v>42248</c:v>
                </c:pt>
                <c:pt idx="82">
                  <c:v>42309</c:v>
                </c:pt>
                <c:pt idx="84">
                  <c:v>42370</c:v>
                </c:pt>
                <c:pt idx="86">
                  <c:v>42430</c:v>
                </c:pt>
                <c:pt idx="88">
                  <c:v>42491</c:v>
                </c:pt>
                <c:pt idx="90">
                  <c:v>42552</c:v>
                </c:pt>
                <c:pt idx="92">
                  <c:v>42614</c:v>
                </c:pt>
                <c:pt idx="94">
                  <c:v>42675</c:v>
                </c:pt>
                <c:pt idx="96">
                  <c:v>42736</c:v>
                </c:pt>
                <c:pt idx="98">
                  <c:v>42795</c:v>
                </c:pt>
                <c:pt idx="100">
                  <c:v>42856</c:v>
                </c:pt>
                <c:pt idx="102">
                  <c:v>42917</c:v>
                </c:pt>
                <c:pt idx="104">
                  <c:v>42979</c:v>
                </c:pt>
                <c:pt idx="106">
                  <c:v>43040</c:v>
                </c:pt>
                <c:pt idx="108">
                  <c:v>43101</c:v>
                </c:pt>
                <c:pt idx="110">
                  <c:v>43160</c:v>
                </c:pt>
                <c:pt idx="112">
                  <c:v>43221</c:v>
                </c:pt>
                <c:pt idx="114">
                  <c:v>43282</c:v>
                </c:pt>
                <c:pt idx="116">
                  <c:v>43344</c:v>
                </c:pt>
                <c:pt idx="118">
                  <c:v>43405</c:v>
                </c:pt>
                <c:pt idx="120">
                  <c:v>43466</c:v>
                </c:pt>
                <c:pt idx="122">
                  <c:v>43525</c:v>
                </c:pt>
                <c:pt idx="124">
                  <c:v>43586</c:v>
                </c:pt>
                <c:pt idx="126">
                  <c:v>43647</c:v>
                </c:pt>
                <c:pt idx="128">
                  <c:v>43709</c:v>
                </c:pt>
                <c:pt idx="130">
                  <c:v>43770</c:v>
                </c:pt>
              </c:numCache>
            </c:numRef>
          </c:cat>
          <c:val>
            <c:numRef>
              <c:f>'10.18 CMg'!$X$42:$X$173</c:f>
              <c:numCache>
                <c:formatCode>#\ ##0.0000</c:formatCode>
                <c:ptCount val="132"/>
                <c:pt idx="0">
                  <c:v>29.369348296897222</c:v>
                </c:pt>
                <c:pt idx="1">
                  <c:v>43.776457202765684</c:v>
                </c:pt>
                <c:pt idx="2">
                  <c:v>24.861875115715424</c:v>
                </c:pt>
                <c:pt idx="3">
                  <c:v>25.314508838819297</c:v>
                </c:pt>
                <c:pt idx="4" formatCode="0.0000">
                  <c:v>28.671329341947246</c:v>
                </c:pt>
                <c:pt idx="5" formatCode="0.0000">
                  <c:v>65.704134145877177</c:v>
                </c:pt>
                <c:pt idx="6" formatCode="0.0000">
                  <c:v>41.219335726861885</c:v>
                </c:pt>
                <c:pt idx="7" formatCode="0.0000">
                  <c:v>33.88069765499597</c:v>
                </c:pt>
                <c:pt idx="8" formatCode="0.00000">
                  <c:v>36.224811158626373</c:v>
                </c:pt>
                <c:pt idx="9" formatCode="0.00000">
                  <c:v>19.786293170121731</c:v>
                </c:pt>
                <c:pt idx="10" formatCode="0.00000">
                  <c:v>20.371688329660614</c:v>
                </c:pt>
                <c:pt idx="11" formatCode="0.00000">
                  <c:v>17.24229191724363</c:v>
                </c:pt>
                <c:pt idx="12" formatCode="0.00000">
                  <c:v>23.151885461718962</c:v>
                </c:pt>
                <c:pt idx="13" formatCode="0.00000">
                  <c:v>24.548984941939395</c:v>
                </c:pt>
                <c:pt idx="14" formatCode="0.00000">
                  <c:v>21.967222854557068</c:v>
                </c:pt>
                <c:pt idx="15" formatCode="0.00000">
                  <c:v>16.604080594856992</c:v>
                </c:pt>
                <c:pt idx="16" formatCode="0.00000">
                  <c:v>18.16067968869995</c:v>
                </c:pt>
                <c:pt idx="17" formatCode="0.00000">
                  <c:v>20.432221464971622</c:v>
                </c:pt>
                <c:pt idx="18" formatCode="0.00000">
                  <c:v>19.881447155658215</c:v>
                </c:pt>
                <c:pt idx="19" formatCode="0.00000">
                  <c:v>22.893245224912185</c:v>
                </c:pt>
                <c:pt idx="20" formatCode="0.00000">
                  <c:v>23.842638656081309</c:v>
                </c:pt>
                <c:pt idx="21" formatCode="0.00000">
                  <c:v>24.228694081858677</c:v>
                </c:pt>
                <c:pt idx="22" formatCode="0.00000">
                  <c:v>23.101261189548914</c:v>
                </c:pt>
                <c:pt idx="23" formatCode="0.00000">
                  <c:v>18.75801322709556</c:v>
                </c:pt>
                <c:pt idx="24" formatCode="0.00000">
                  <c:v>17.567231399929128</c:v>
                </c:pt>
                <c:pt idx="25" formatCode="0.00000">
                  <c:v>21.742048887431082</c:v>
                </c:pt>
                <c:pt idx="26" formatCode="0.00000">
                  <c:v>21.626283545801094</c:v>
                </c:pt>
                <c:pt idx="27" formatCode="0.00000">
                  <c:v>17.915334479823386</c:v>
                </c:pt>
                <c:pt idx="28" formatCode="0.00000">
                  <c:v>18.787395083847304</c:v>
                </c:pt>
                <c:pt idx="29">
                  <c:v>25.855921760562026</c:v>
                </c:pt>
                <c:pt idx="30">
                  <c:v>20.447964669259296</c:v>
                </c:pt>
                <c:pt idx="31">
                  <c:v>31.513723552074428</c:v>
                </c:pt>
                <c:pt idx="32">
                  <c:v>33.625477250293223</c:v>
                </c:pt>
                <c:pt idx="33">
                  <c:v>27.061673246469805</c:v>
                </c:pt>
                <c:pt idx="34">
                  <c:v>28.576509854755177</c:v>
                </c:pt>
                <c:pt idx="35">
                  <c:v>21.572143903935988</c:v>
                </c:pt>
                <c:pt idx="36" formatCode="0.00000">
                  <c:v>20.923503333472041</c:v>
                </c:pt>
                <c:pt idx="37" formatCode="0.00000">
                  <c:v>23.733679084449683</c:v>
                </c:pt>
                <c:pt idx="38" formatCode="0.00000">
                  <c:v>39.834816199529996</c:v>
                </c:pt>
                <c:pt idx="39" formatCode="0.00000">
                  <c:v>26.676091358940141</c:v>
                </c:pt>
                <c:pt idx="40" formatCode="0.00000">
                  <c:v>27.175128712651912</c:v>
                </c:pt>
                <c:pt idx="41">
                  <c:v>45.522872757662974</c:v>
                </c:pt>
                <c:pt idx="42">
                  <c:v>58.048907123652945</c:v>
                </c:pt>
                <c:pt idx="43">
                  <c:v>35.091212319098979</c:v>
                </c:pt>
                <c:pt idx="44">
                  <c:v>36.409005151663997</c:v>
                </c:pt>
                <c:pt idx="45">
                  <c:v>28.761055033613044</c:v>
                </c:pt>
                <c:pt idx="46">
                  <c:v>14.350125025801393</c:v>
                </c:pt>
                <c:pt idx="47">
                  <c:v>13.750358573352774</c:v>
                </c:pt>
                <c:pt idx="48" formatCode="0.00000">
                  <c:v>19.348428333839077</c:v>
                </c:pt>
                <c:pt idx="49" formatCode="0.00000">
                  <c:v>31.405409823781884</c:v>
                </c:pt>
                <c:pt idx="50" formatCode="0.00000">
                  <c:v>19.717648662059528</c:v>
                </c:pt>
                <c:pt idx="51" formatCode="0.00000">
                  <c:v>18.78351450473842</c:v>
                </c:pt>
                <c:pt idx="52" formatCode="0.00000">
                  <c:v>27.142697207622369</c:v>
                </c:pt>
                <c:pt idx="53">
                  <c:v>26.609829109875118</c:v>
                </c:pt>
                <c:pt idx="54">
                  <c:v>44.86074085997528</c:v>
                </c:pt>
                <c:pt idx="55">
                  <c:v>34.727541531503363</c:v>
                </c:pt>
                <c:pt idx="56">
                  <c:v>28.267645083482385</c:v>
                </c:pt>
                <c:pt idx="57">
                  <c:v>19.446012889650294</c:v>
                </c:pt>
                <c:pt idx="58">
                  <c:v>23.017526648706628</c:v>
                </c:pt>
                <c:pt idx="59">
                  <c:v>24.897530353704859</c:v>
                </c:pt>
                <c:pt idx="60" formatCode="0.00000">
                  <c:v>21.375760984909959</c:v>
                </c:pt>
                <c:pt idx="61" formatCode="0.00000">
                  <c:v>23.982824577332828</c:v>
                </c:pt>
                <c:pt idx="62" formatCode="0.00000">
                  <c:v>34.31425734151675</c:v>
                </c:pt>
                <c:pt idx="63" formatCode="0.00000">
                  <c:v>28.103935949041279</c:v>
                </c:pt>
                <c:pt idx="64" formatCode="0.00000">
                  <c:v>25.419911541255949</c:v>
                </c:pt>
                <c:pt idx="65">
                  <c:v>30.963838982579311</c:v>
                </c:pt>
                <c:pt idx="66">
                  <c:v>24.911798178249853</c:v>
                </c:pt>
                <c:pt idx="67">
                  <c:v>27.418580202355596</c:v>
                </c:pt>
                <c:pt idx="68">
                  <c:v>23.856822822456579</c:v>
                </c:pt>
                <c:pt idx="69">
                  <c:v>17.97162642965915</c:v>
                </c:pt>
                <c:pt idx="70">
                  <c:v>21.320481000455324</c:v>
                </c:pt>
                <c:pt idx="71">
                  <c:v>15.1613620942839</c:v>
                </c:pt>
                <c:pt idx="72" formatCode="0.00000">
                  <c:v>14.112204898474959</c:v>
                </c:pt>
                <c:pt idx="73" formatCode="0.00000">
                  <c:v>16.223655561597354</c:v>
                </c:pt>
                <c:pt idx="74" formatCode="0.00000">
                  <c:v>17.076837965112944</c:v>
                </c:pt>
                <c:pt idx="75" formatCode="0.00000">
                  <c:v>13.105824794083809</c:v>
                </c:pt>
                <c:pt idx="76" formatCode="0.00000">
                  <c:v>14.827730512509373</c:v>
                </c:pt>
                <c:pt idx="77">
                  <c:v>16.914198404745683</c:v>
                </c:pt>
                <c:pt idx="78">
                  <c:v>10.93621169563162</c:v>
                </c:pt>
                <c:pt idx="79">
                  <c:v>21.495316139908816</c:v>
                </c:pt>
                <c:pt idx="80">
                  <c:v>14.487029648083093</c:v>
                </c:pt>
                <c:pt idx="81">
                  <c:v>14.247086154161103</c:v>
                </c:pt>
                <c:pt idx="82">
                  <c:v>11.586053532183644</c:v>
                </c:pt>
                <c:pt idx="83">
                  <c:v>11.397163508083612</c:v>
                </c:pt>
                <c:pt idx="84" formatCode="0.0000">
                  <c:v>10.987022679932455</c:v>
                </c:pt>
                <c:pt idx="85" formatCode="0.0000">
                  <c:v>12.424788655490943</c:v>
                </c:pt>
                <c:pt idx="86" formatCode="0.0000">
                  <c:v>12.363232125932617</c:v>
                </c:pt>
                <c:pt idx="87" formatCode="0.0000">
                  <c:v>13.259653528235058</c:v>
                </c:pt>
                <c:pt idx="88" formatCode="0.0000">
                  <c:v>19.903438135837035</c:v>
                </c:pt>
                <c:pt idx="89" formatCode="0.0000">
                  <c:v>38.817162059917059</c:v>
                </c:pt>
                <c:pt idx="90" formatCode="0.0000">
                  <c:v>34.134452834967995</c:v>
                </c:pt>
                <c:pt idx="91" formatCode="0.0000">
                  <c:v>18.926278827570297</c:v>
                </c:pt>
                <c:pt idx="92" formatCode="0.0000">
                  <c:v>27.558771553190272</c:v>
                </c:pt>
                <c:pt idx="93" formatCode="0.0000">
                  <c:v>17.926396471242537</c:v>
                </c:pt>
                <c:pt idx="94" formatCode="0.0000">
                  <c:v>27.597915480639742</c:v>
                </c:pt>
                <c:pt idx="95" formatCode="0.0000">
                  <c:v>23.078366521135209</c:v>
                </c:pt>
                <c:pt idx="96" formatCode="0.0000">
                  <c:v>8.3164816440047371</c:v>
                </c:pt>
                <c:pt idx="97" formatCode="0.0000">
                  <c:v>8.5163403550176078</c:v>
                </c:pt>
                <c:pt idx="98" formatCode="0.0000">
                  <c:v>10.174386821027534</c:v>
                </c:pt>
                <c:pt idx="99" formatCode="0.0000">
                  <c:v>7.3124180615457099</c:v>
                </c:pt>
                <c:pt idx="100" formatCode="0.0000">
                  <c:v>6.0221939882343252</c:v>
                </c:pt>
                <c:pt idx="101" formatCode="0.0000">
                  <c:v>11.018527725059684</c:v>
                </c:pt>
                <c:pt idx="102" formatCode="0.0000">
                  <c:v>9.9949693612025996</c:v>
                </c:pt>
                <c:pt idx="103" formatCode="0.0000">
                  <c:v>13.650319790485089</c:v>
                </c:pt>
                <c:pt idx="104" formatCode="0.0000">
                  <c:v>13.398647691519608</c:v>
                </c:pt>
                <c:pt idx="105" formatCode="0.0000">
                  <c:v>7.9805298409429453</c:v>
                </c:pt>
                <c:pt idx="106" formatCode="0.0000">
                  <c:v>9.9854236363558577</c:v>
                </c:pt>
                <c:pt idx="107" formatCode="0.0000">
                  <c:v>7.996105539146229</c:v>
                </c:pt>
                <c:pt idx="108" formatCode="0.0000">
                  <c:v>6.3304060990671163</c:v>
                </c:pt>
                <c:pt idx="109" formatCode="0.0000">
                  <c:v>29.676460665412712</c:v>
                </c:pt>
                <c:pt idx="110" formatCode="0.0000">
                  <c:v>5.4739187554321216</c:v>
                </c:pt>
                <c:pt idx="111" formatCode="0.0000">
                  <c:v>5.1168617091880524</c:v>
                </c:pt>
                <c:pt idx="112" formatCode="0.0000">
                  <c:v>9.1706185796697532</c:v>
                </c:pt>
                <c:pt idx="113" formatCode="0.0000">
                  <c:v>9.5122667054825936</c:v>
                </c:pt>
                <c:pt idx="114" formatCode="0.0000">
                  <c:v>15.615574629616891</c:v>
                </c:pt>
                <c:pt idx="115" formatCode="0.0000">
                  <c:v>14.615099851775625</c:v>
                </c:pt>
                <c:pt idx="116" formatCode="0.0000">
                  <c:v>9.3824278543307198</c:v>
                </c:pt>
                <c:pt idx="117" formatCode="0.0000">
                  <c:v>7.8731675031775596</c:v>
                </c:pt>
                <c:pt idx="118" formatCode="0.0000">
                  <c:v>7.8661501443507831</c:v>
                </c:pt>
                <c:pt idx="119" formatCode="0.0000">
                  <c:v>8.5030574971678341</c:v>
                </c:pt>
                <c:pt idx="120" formatCode="0.0000">
                  <c:v>8.0183972912737307</c:v>
                </c:pt>
                <c:pt idx="121" formatCode="0.0000">
                  <c:v>6.5798197576723583</c:v>
                </c:pt>
                <c:pt idx="122" formatCode="0.0000">
                  <c:v>5.2758954694871134</c:v>
                </c:pt>
                <c:pt idx="123" formatCode="0.0000">
                  <c:v>7.2510743747484048</c:v>
                </c:pt>
                <c:pt idx="124" formatCode="0.0000">
                  <c:v>8.6283444421843551</c:v>
                </c:pt>
                <c:pt idx="125" formatCode="0.0000">
                  <c:v>9.0572105658983162</c:v>
                </c:pt>
                <c:pt idx="126" formatCode="0.0000">
                  <c:v>9.3417713061998828</c:v>
                </c:pt>
                <c:pt idx="127" formatCode="0.0000">
                  <c:v>11.312098106218745</c:v>
                </c:pt>
                <c:pt idx="128" formatCode="0.0000">
                  <c:v>10.009267654445074</c:v>
                </c:pt>
                <c:pt idx="129" formatCode="0.0000">
                  <c:v>13.980669452364253</c:v>
                </c:pt>
                <c:pt idx="130" formatCode="0.0000">
                  <c:v>9.8747130935160516</c:v>
                </c:pt>
                <c:pt idx="131" formatCode="0.0000">
                  <c:v>7.6497304337625502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72-42FA-AE82-9C829D3A5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29664"/>
        <c:axId val="166131200"/>
      </c:barChart>
      <c:lineChart>
        <c:grouping val="standard"/>
        <c:varyColors val="0"/>
        <c:ser>
          <c:idx val="1"/>
          <c:order val="1"/>
          <c:tx>
            <c:v>Precio en barra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'10.18 CMg'!$Q$42:$R$173</c:f>
              <c:multiLvlStrCache>
                <c:ptCount val="13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Set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  <c:pt idx="84">
                    <c:v>Ene</c:v>
                  </c:pt>
                  <c:pt idx="85">
                    <c:v>Feb</c:v>
                  </c:pt>
                  <c:pt idx="86">
                    <c:v>Mar</c:v>
                  </c:pt>
                  <c:pt idx="87">
                    <c:v>Abr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Ago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Dic</c:v>
                  </c:pt>
                  <c:pt idx="96">
                    <c:v>Ene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Abr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Ago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Dic</c:v>
                  </c:pt>
                  <c:pt idx="108">
                    <c:v>Ene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Abr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Ago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Dic</c:v>
                  </c:pt>
                  <c:pt idx="120">
                    <c:v>Ene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Abr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Ago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  <c:pt idx="24">
                    <c:v>2011</c:v>
                  </c:pt>
                  <c:pt idx="36">
                    <c:v>2012</c:v>
                  </c:pt>
                  <c:pt idx="48">
                    <c:v>2013</c:v>
                  </c:pt>
                  <c:pt idx="60">
                    <c:v>2014</c:v>
                  </c:pt>
                  <c:pt idx="72">
                    <c:v>2015</c:v>
                  </c:pt>
                  <c:pt idx="84">
                    <c:v>2016</c:v>
                  </c:pt>
                  <c:pt idx="96">
                    <c:v>2017</c:v>
                  </c:pt>
                  <c:pt idx="108">
                    <c:v>2018</c:v>
                  </c:pt>
                  <c:pt idx="120">
                    <c:v>2019</c:v>
                  </c:pt>
                </c:lvl>
              </c:multiLvlStrCache>
            </c:multiLvlStrRef>
          </c:cat>
          <c:val>
            <c:numRef>
              <c:f>'10.18 CMg'!$W$42:$W$173</c:f>
              <c:numCache>
                <c:formatCode>#\ ##0.0000</c:formatCode>
                <c:ptCount val="132"/>
                <c:pt idx="0">
                  <c:v>31.036588279773156</c:v>
                </c:pt>
                <c:pt idx="1">
                  <c:v>30.418552322362345</c:v>
                </c:pt>
                <c:pt idx="2">
                  <c:v>33.131001243787694</c:v>
                </c:pt>
                <c:pt idx="3">
                  <c:v>34.915379499165262</c:v>
                </c:pt>
                <c:pt idx="4" formatCode="0.0000">
                  <c:v>32.335613118638591</c:v>
                </c:pt>
                <c:pt idx="5" formatCode="0.0000">
                  <c:v>32.015941547658585</c:v>
                </c:pt>
                <c:pt idx="6" formatCode="0.0000">
                  <c:v>32.273183796451292</c:v>
                </c:pt>
                <c:pt idx="7" formatCode="0.0000">
                  <c:v>32.179279555302671</c:v>
                </c:pt>
                <c:pt idx="8" formatCode="0.0000">
                  <c:v>32.824956672443676</c:v>
                </c:pt>
                <c:pt idx="9" formatCode="0.0000">
                  <c:v>32.587749483826563</c:v>
                </c:pt>
                <c:pt idx="10" formatCode="0.0000">
                  <c:v>32.676973658837596</c:v>
                </c:pt>
                <c:pt idx="11" formatCode="0.0000">
                  <c:v>32.486805547806874</c:v>
                </c:pt>
                <c:pt idx="12" formatCode="0.0000">
                  <c:v>31.037096209649189</c:v>
                </c:pt>
                <c:pt idx="13" formatCode="0.0000">
                  <c:v>31.187634759063329</c:v>
                </c:pt>
                <c:pt idx="14" formatCode="0.0000">
                  <c:v>31.281781344350865</c:v>
                </c:pt>
                <c:pt idx="15" formatCode="0.0000">
                  <c:v>31.074499824499817</c:v>
                </c:pt>
                <c:pt idx="16" formatCode="0.0000">
                  <c:v>28.854054462649053</c:v>
                </c:pt>
                <c:pt idx="17" formatCode="0.0000">
                  <c:v>29.030086860826163</c:v>
                </c:pt>
                <c:pt idx="18" formatCode="0.0000">
                  <c:v>28.976286210362794</c:v>
                </c:pt>
                <c:pt idx="19" formatCode="0.0000">
                  <c:v>29.838833312807868</c:v>
                </c:pt>
                <c:pt idx="20" formatCode="0.0000">
                  <c:v>29.970209628566881</c:v>
                </c:pt>
                <c:pt idx="21" formatCode="0.0000">
                  <c:v>29.822088742342839</c:v>
                </c:pt>
                <c:pt idx="22" formatCode="0.0000">
                  <c:v>29.456263731952291</c:v>
                </c:pt>
                <c:pt idx="23" formatCode="0.0000">
                  <c:v>29.611042846151197</c:v>
                </c:pt>
                <c:pt idx="24" formatCode="0.0000">
                  <c:v>30.043206573370714</c:v>
                </c:pt>
                <c:pt idx="25" formatCode="0.0000">
                  <c:v>30.096525096525095</c:v>
                </c:pt>
                <c:pt idx="26" formatCode="0.0000">
                  <c:v>29.794865160140301</c:v>
                </c:pt>
                <c:pt idx="27" formatCode="0.0000">
                  <c:v>31.034749300878332</c:v>
                </c:pt>
                <c:pt idx="28" formatCode="0.0000">
                  <c:v>34.174848154021788</c:v>
                </c:pt>
                <c:pt idx="29">
                  <c:v>34.412700530303027</c:v>
                </c:pt>
                <c:pt idx="30">
                  <c:v>34.544931430995071</c:v>
                </c:pt>
                <c:pt idx="31">
                  <c:v>34.704640305428391</c:v>
                </c:pt>
                <c:pt idx="32">
                  <c:v>34.137619154946506</c:v>
                </c:pt>
                <c:pt idx="33">
                  <c:v>34.948136673893359</c:v>
                </c:pt>
                <c:pt idx="34">
                  <c:v>35.049972762345675</c:v>
                </c:pt>
                <c:pt idx="35">
                  <c:v>35.070086117191138</c:v>
                </c:pt>
                <c:pt idx="36" formatCode="0.0000">
                  <c:v>35.158598359525783</c:v>
                </c:pt>
                <c:pt idx="37" formatCode="0.0000">
                  <c:v>35.347147301769205</c:v>
                </c:pt>
                <c:pt idx="38" formatCode="0.0000">
                  <c:v>34.62244852036347</c:v>
                </c:pt>
                <c:pt idx="39" formatCode="0.0000">
                  <c:v>34.910611409005227</c:v>
                </c:pt>
                <c:pt idx="40" formatCode="0.0000">
                  <c:v>39.675067484285663</c:v>
                </c:pt>
                <c:pt idx="41">
                  <c:v>40.198739548234123</c:v>
                </c:pt>
                <c:pt idx="42">
                  <c:v>40.793138566117371</c:v>
                </c:pt>
                <c:pt idx="43">
                  <c:v>41.142627610925715</c:v>
                </c:pt>
                <c:pt idx="44">
                  <c:v>41.35552989479087</c:v>
                </c:pt>
                <c:pt idx="45">
                  <c:v>41.451260288065839</c:v>
                </c:pt>
                <c:pt idx="46">
                  <c:v>41.493149799663954</c:v>
                </c:pt>
                <c:pt idx="47">
                  <c:v>41.883638294912814</c:v>
                </c:pt>
                <c:pt idx="48" formatCode="0.0000">
                  <c:v>41.471570860131642</c:v>
                </c:pt>
                <c:pt idx="49" formatCode="0.0000">
                  <c:v>41.679551604174712</c:v>
                </c:pt>
                <c:pt idx="50" formatCode="0.0000">
                  <c:v>41.695946872001898</c:v>
                </c:pt>
                <c:pt idx="51" formatCode="0.0000">
                  <c:v>40.713970773494587</c:v>
                </c:pt>
                <c:pt idx="52" formatCode="0.0000">
                  <c:v>39.129913239099814</c:v>
                </c:pt>
                <c:pt idx="53">
                  <c:v>40.168932407074692</c:v>
                </c:pt>
                <c:pt idx="54">
                  <c:v>40.119380238760485</c:v>
                </c:pt>
                <c:pt idx="55">
                  <c:v>40.014130135097886</c:v>
                </c:pt>
                <c:pt idx="56">
                  <c:v>40.429547088425593</c:v>
                </c:pt>
                <c:pt idx="57">
                  <c:v>40.56306044020031</c:v>
                </c:pt>
                <c:pt idx="58">
                  <c:v>38.218154761904763</c:v>
                </c:pt>
                <c:pt idx="59">
                  <c:v>38.213576999400068</c:v>
                </c:pt>
                <c:pt idx="60" formatCode="0.0000">
                  <c:v>39.796671242278663</c:v>
                </c:pt>
                <c:pt idx="61" formatCode="0.0000">
                  <c:v>43.764031066324712</c:v>
                </c:pt>
                <c:pt idx="62" formatCode="0.0000">
                  <c:v>44.2348327380884</c:v>
                </c:pt>
                <c:pt idx="63" formatCode="0.0000">
                  <c:v>44.066195957438389</c:v>
                </c:pt>
                <c:pt idx="64" formatCode="0.0000">
                  <c:v>40.773061079485807</c:v>
                </c:pt>
                <c:pt idx="65">
                  <c:v>39.912921236687332</c:v>
                </c:pt>
                <c:pt idx="66">
                  <c:v>39.704239379415363</c:v>
                </c:pt>
                <c:pt idx="67">
                  <c:v>39.230020598295447</c:v>
                </c:pt>
                <c:pt idx="68">
                  <c:v>38.615625480252035</c:v>
                </c:pt>
                <c:pt idx="69">
                  <c:v>40.260408526916251</c:v>
                </c:pt>
                <c:pt idx="70">
                  <c:v>40.503662480974121</c:v>
                </c:pt>
                <c:pt idx="71">
                  <c:v>39.534206067408455</c:v>
                </c:pt>
                <c:pt idx="72" formatCode="0.0000">
                  <c:v>38.668976841986826</c:v>
                </c:pt>
                <c:pt idx="73" formatCode="0.0000">
                  <c:v>40.419166858989144</c:v>
                </c:pt>
                <c:pt idx="74" formatCode="0.0000">
                  <c:v>40.637401439478374</c:v>
                </c:pt>
                <c:pt idx="75" formatCode="0.0000">
                  <c:v>40.214262871762074</c:v>
                </c:pt>
                <c:pt idx="76" formatCode="0.0000">
                  <c:v>40.92567434132124</c:v>
                </c:pt>
                <c:pt idx="77">
                  <c:v>40.668361818880847</c:v>
                </c:pt>
                <c:pt idx="78">
                  <c:v>40.474169294203257</c:v>
                </c:pt>
                <c:pt idx="79">
                  <c:v>39.942233782109419</c:v>
                </c:pt>
                <c:pt idx="80">
                  <c:v>41.312010893922157</c:v>
                </c:pt>
                <c:pt idx="81">
                  <c:v>40.623047456418412</c:v>
                </c:pt>
                <c:pt idx="82">
                  <c:v>39.487065560821499</c:v>
                </c:pt>
                <c:pt idx="83">
                  <c:v>39.10837436871671</c:v>
                </c:pt>
                <c:pt idx="84" formatCode="0.0000">
                  <c:v>40.268882659183028</c:v>
                </c:pt>
                <c:pt idx="85" formatCode="0.0000">
                  <c:v>39.86586236226939</c:v>
                </c:pt>
                <c:pt idx="86" formatCode="0.0000">
                  <c:v>42.226271712158812</c:v>
                </c:pt>
                <c:pt idx="87" formatCode="0.0000">
                  <c:v>40.275211260435746</c:v>
                </c:pt>
                <c:pt idx="88" formatCode="0.0000">
                  <c:v>43.954082770840898</c:v>
                </c:pt>
                <c:pt idx="89" formatCode="0.0000">
                  <c:v>45.043539894694213</c:v>
                </c:pt>
                <c:pt idx="90" formatCode="0.0000">
                  <c:v>44.084421402969795</c:v>
                </c:pt>
                <c:pt idx="91" formatCode="0.0000">
                  <c:v>43.682201846485178</c:v>
                </c:pt>
                <c:pt idx="92" formatCode="0.0000">
                  <c:v>43.592255199660428</c:v>
                </c:pt>
                <c:pt idx="93" formatCode="0.0000">
                  <c:v>44.054067008579779</c:v>
                </c:pt>
                <c:pt idx="94" formatCode="0.0000">
                  <c:v>43.446625647035845</c:v>
                </c:pt>
                <c:pt idx="95" formatCode="0.0000">
                  <c:v>44.119623655913983</c:v>
                </c:pt>
                <c:pt idx="96" formatCode="0.0000">
                  <c:v>45.117455208036873</c:v>
                </c:pt>
                <c:pt idx="97" formatCode="0.0000">
                  <c:v>45.451892065437868</c:v>
                </c:pt>
                <c:pt idx="98" formatCode="0.0000">
                  <c:v>45.663347200296528</c:v>
                </c:pt>
                <c:pt idx="99" formatCode="0.0000">
                  <c:v>45.625385089340725</c:v>
                </c:pt>
                <c:pt idx="100" formatCode="0.0000">
                  <c:v>42.735116465546703</c:v>
                </c:pt>
                <c:pt idx="101" formatCode="0.0000">
                  <c:v>42.953575695511176</c:v>
                </c:pt>
                <c:pt idx="102" formatCode="0.0000">
                  <c:v>43.059259185555177</c:v>
                </c:pt>
                <c:pt idx="103" formatCode="0.0000">
                  <c:v>43.112740708310952</c:v>
                </c:pt>
                <c:pt idx="104" formatCode="0.0000">
                  <c:v>42.777522701765129</c:v>
                </c:pt>
                <c:pt idx="105" formatCode="0.0000">
                  <c:v>43.006617038875106</c:v>
                </c:pt>
                <c:pt idx="106" formatCode="0.0000">
                  <c:v>43.200669757856772</c:v>
                </c:pt>
                <c:pt idx="107" formatCode="0.0000">
                  <c:v>43.019450933611672</c:v>
                </c:pt>
                <c:pt idx="108" formatCode="0.0000">
                  <c:v>43.447779103619553</c:v>
                </c:pt>
                <c:pt idx="109" formatCode="0.0000">
                  <c:v>42.864079087630131</c:v>
                </c:pt>
                <c:pt idx="110" formatCode="0.0000">
                  <c:v>45.279560332045463</c:v>
                </c:pt>
                <c:pt idx="111" formatCode="0.0000">
                  <c:v>45.234615384615381</c:v>
                </c:pt>
                <c:pt idx="112" formatCode="0.0000">
                  <c:v>43.136211664400527</c:v>
                </c:pt>
                <c:pt idx="113" formatCode="0.0000">
                  <c:v>43.120885087897918</c:v>
                </c:pt>
                <c:pt idx="114" formatCode="0.0000">
                  <c:v>43.124716732023579</c:v>
                </c:pt>
                <c:pt idx="115" formatCode="0.0000">
                  <c:v>42.822303514022842</c:v>
                </c:pt>
                <c:pt idx="116" formatCode="0.0000">
                  <c:v>42.755232519012047</c:v>
                </c:pt>
                <c:pt idx="117" formatCode="0.0000">
                  <c:v>41.944745170551627</c:v>
                </c:pt>
                <c:pt idx="118" formatCode="0.0000">
                  <c:v>43.306598659570277</c:v>
                </c:pt>
                <c:pt idx="119" formatCode="0.0000">
                  <c:v>43.497949065543978</c:v>
                </c:pt>
                <c:pt idx="120" formatCode="0.0000">
                  <c:v>44.095210459286477</c:v>
                </c:pt>
                <c:pt idx="121" formatCode="0.0000">
                  <c:v>44.497154383689924</c:v>
                </c:pt>
                <c:pt idx="122" formatCode="0.0000">
                  <c:v>44.269361152392875</c:v>
                </c:pt>
                <c:pt idx="123" formatCode="0.0000">
                  <c:v>44.385735373054217</c:v>
                </c:pt>
                <c:pt idx="124" formatCode="0.0000">
                  <c:v>45.181631090265149</c:v>
                </c:pt>
                <c:pt idx="125" formatCode="0.0000">
                  <c:v>46.238601823708194</c:v>
                </c:pt>
                <c:pt idx="126" formatCode="0.0000">
                  <c:v>46.000633466523738</c:v>
                </c:pt>
                <c:pt idx="127" formatCode="0.0000">
                  <c:v>44.796144976226408</c:v>
                </c:pt>
                <c:pt idx="128" formatCode="0.0000">
                  <c:v>45.347408400357445</c:v>
                </c:pt>
                <c:pt idx="129" formatCode="0.0000">
                  <c:v>45.464943796414914</c:v>
                </c:pt>
                <c:pt idx="130" formatCode="0.0000">
                  <c:v>44.75581053250955</c:v>
                </c:pt>
                <c:pt idx="131" formatCode="0.0000">
                  <c:v>45.872557791241604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72-42FA-AE82-9C829D3A5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29664"/>
        <c:axId val="166131200"/>
      </c:lineChart>
      <c:catAx>
        <c:axId val="16612966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6131200"/>
        <c:crosses val="autoZero"/>
        <c:auto val="0"/>
        <c:lblAlgn val="ctr"/>
        <c:lblOffset val="50"/>
        <c:tickLblSkip val="2"/>
        <c:tickMarkSkip val="2"/>
        <c:noMultiLvlLbl val="0"/>
      </c:catAx>
      <c:valAx>
        <c:axId val="16613120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US$/MW.h</a:t>
                </a:r>
              </a:p>
            </c:rich>
          </c:tx>
          <c:layout>
            <c:manualLayout>
              <c:xMode val="edge"/>
              <c:yMode val="edge"/>
              <c:x val="8.0210342451706275E-4"/>
              <c:y val="0.386987239802571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6129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277145095114861"/>
          <c:y val="3.4634615783602267E-2"/>
          <c:w val="0.35093066395673322"/>
          <c:h val="3.713498076891332E-2"/>
        </c:manualLayout>
      </c:layout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>
      <a:solidFill>
        <a:sysClr val="windowText" lastClr="000000"/>
      </a:solidFill>
    </a:ln>
  </c:spPr>
  <c:txPr>
    <a:bodyPr/>
    <a:lstStyle/>
    <a:p>
      <a:pPr>
        <a:defRPr sz="2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POTENCIA EFECTIVA - GENERADORAS PARA MERCADO ELÉCTRICO
1 995 - 2 019</a:t>
            </a:r>
          </a:p>
        </c:rich>
      </c:tx>
      <c:layout>
        <c:manualLayout>
          <c:xMode val="edge"/>
          <c:yMode val="edge"/>
          <c:x val="0.27198133108729416"/>
          <c:y val="5.5172413793103448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balanced" dir="t"/>
        </a:scene3d>
        <a:sp3d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8.3636553383113391E-2"/>
          <c:y val="0.20574712643678161"/>
          <c:w val="0.9068415752205925"/>
          <c:h val="0.5618779223757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Efect'!$R$38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'10.2 Efect'!$Q$39:$Q$63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'10.2 Efect'!$R$39:$R$63</c:f>
              <c:numCache>
                <c:formatCode>#\ ##0.00</c:formatCode>
                <c:ptCount val="25"/>
                <c:pt idx="0">
                  <c:v>3195.3919999999998</c:v>
                </c:pt>
                <c:pt idx="1">
                  <c:v>2879.5010000000002</c:v>
                </c:pt>
                <c:pt idx="2">
                  <c:v>3826.8329999999996</c:v>
                </c:pt>
                <c:pt idx="3">
                  <c:v>4020.8509999999997</c:v>
                </c:pt>
                <c:pt idx="4">
                  <c:v>4317.9289999999992</c:v>
                </c:pt>
                <c:pt idx="5">
                  <c:v>4775.9350000000004</c:v>
                </c:pt>
                <c:pt idx="6">
                  <c:v>4642.0639999999994</c:v>
                </c:pt>
                <c:pt idx="7">
                  <c:v>4657.8269999999993</c:v>
                </c:pt>
                <c:pt idx="8">
                  <c:v>4686.3940000000002</c:v>
                </c:pt>
                <c:pt idx="9">
                  <c:v>4657.3150700000006</c:v>
                </c:pt>
                <c:pt idx="10">
                  <c:v>4798.6629999999996</c:v>
                </c:pt>
                <c:pt idx="11">
                  <c:v>5064.3620000000001</c:v>
                </c:pt>
                <c:pt idx="12">
                  <c:v>5532.8549999999987</c:v>
                </c:pt>
                <c:pt idx="13">
                  <c:v>5444.2159999999994</c:v>
                </c:pt>
                <c:pt idx="14">
                  <c:v>6246.4090000000006</c:v>
                </c:pt>
                <c:pt idx="15">
                  <c:v>6875.0380000000014</c:v>
                </c:pt>
                <c:pt idx="16">
                  <c:v>6867.8210000000008</c:v>
                </c:pt>
                <c:pt idx="17">
                  <c:v>7754.9049999999997</c:v>
                </c:pt>
                <c:pt idx="18">
                  <c:v>8680.4210000000003</c:v>
                </c:pt>
                <c:pt idx="19">
                  <c:v>9082.8000000000029</c:v>
                </c:pt>
                <c:pt idx="20">
                  <c:v>10028.284</c:v>
                </c:pt>
                <c:pt idx="21">
                  <c:v>12450.708000000004</c:v>
                </c:pt>
                <c:pt idx="22">
                  <c:v>12631.256180000006</c:v>
                </c:pt>
                <c:pt idx="23">
                  <c:v>13145.596000000005</c:v>
                </c:pt>
                <c:pt idx="24">
                  <c:v>13159.246999999999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15-4C86-8629-9A2DFEB7B5A2}"/>
            </c:ext>
          </c:extLst>
        </c:ser>
        <c:ser>
          <c:idx val="1"/>
          <c:order val="1"/>
          <c:tx>
            <c:strRef>
              <c:f>'10.2 Efect'!$S$38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00CC"/>
              </a:solidFill>
            </a:ln>
          </c:spPr>
          <c:invertIfNegative val="0"/>
          <c:cat>
            <c:numRef>
              <c:f>'10.2 Efect'!$Q$39:$Q$63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'10.2 Efect'!$S$39:$S$63</c:f>
              <c:numCache>
                <c:formatCode>#\ ##0.00</c:formatCode>
                <c:ptCount val="25"/>
                <c:pt idx="0">
                  <c:v>2205.915</c:v>
                </c:pt>
                <c:pt idx="1">
                  <c:v>1924.8510000000001</c:v>
                </c:pt>
                <c:pt idx="2">
                  <c:v>2120.1709999999998</c:v>
                </c:pt>
                <c:pt idx="3">
                  <c:v>2022.9019999999998</c:v>
                </c:pt>
                <c:pt idx="4">
                  <c:v>2242.625</c:v>
                </c:pt>
                <c:pt idx="5">
                  <c:v>2575.9240000000004</c:v>
                </c:pt>
                <c:pt idx="6">
                  <c:v>2674.8349999999996</c:v>
                </c:pt>
                <c:pt idx="7">
                  <c:v>2702.8629999999998</c:v>
                </c:pt>
                <c:pt idx="8">
                  <c:v>2720.2290000000003</c:v>
                </c:pt>
                <c:pt idx="9">
                  <c:v>2747.2720700000009</c:v>
                </c:pt>
                <c:pt idx="10">
                  <c:v>2918.7730000000001</c:v>
                </c:pt>
                <c:pt idx="11">
                  <c:v>2926.6179999999999</c:v>
                </c:pt>
                <c:pt idx="12">
                  <c:v>2939.5869999999982</c:v>
                </c:pt>
                <c:pt idx="13">
                  <c:v>2953.1210000000005</c:v>
                </c:pt>
                <c:pt idx="14">
                  <c:v>3037.1620000000003</c:v>
                </c:pt>
                <c:pt idx="15" formatCode="General">
                  <c:v>3237.3610000000008</c:v>
                </c:pt>
                <c:pt idx="16" formatCode="General">
                  <c:v>3246.6250000000005</c:v>
                </c:pt>
                <c:pt idx="17" formatCode="General">
                  <c:v>3270.5969999999998</c:v>
                </c:pt>
                <c:pt idx="18" formatCode="General">
                  <c:v>3337.0359999999996</c:v>
                </c:pt>
                <c:pt idx="19" formatCode="General">
                  <c:v>3435.9410000000007</c:v>
                </c:pt>
                <c:pt idx="20" formatCode="General">
                  <c:v>3928.0910000000003</c:v>
                </c:pt>
                <c:pt idx="21" formatCode="General">
                  <c:v>4983.9800000000023</c:v>
                </c:pt>
                <c:pt idx="22" formatCode="General">
                  <c:v>5041.6326799999988</c:v>
                </c:pt>
                <c:pt idx="23" formatCode="General">
                  <c:v>5174.4699999999984</c:v>
                </c:pt>
                <c:pt idx="24" formatCode="General">
                  <c:v>5236.2709999999925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15-4C86-8629-9A2DFEB7B5A2}"/>
            </c:ext>
          </c:extLst>
        </c:ser>
        <c:ser>
          <c:idx val="2"/>
          <c:order val="2"/>
          <c:tx>
            <c:strRef>
              <c:f>'10.2 Efect'!$T$38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12700">
              <a:solidFill>
                <a:schemeClr val="accent6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'10.2 Efect'!$Q$39:$Q$63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'10.2 Efect'!$T$39:$T$63</c:f>
              <c:numCache>
                <c:formatCode>#\ ##0.00</c:formatCode>
                <c:ptCount val="25"/>
                <c:pt idx="0">
                  <c:v>989.47699999999998</c:v>
                </c:pt>
                <c:pt idx="1">
                  <c:v>954.4</c:v>
                </c:pt>
                <c:pt idx="2">
                  <c:v>1706.4119999999998</c:v>
                </c:pt>
                <c:pt idx="3">
                  <c:v>1997.6489999999999</c:v>
                </c:pt>
                <c:pt idx="4">
                  <c:v>2074.6039999999998</c:v>
                </c:pt>
                <c:pt idx="5">
                  <c:v>2199.3110000000001</c:v>
                </c:pt>
                <c:pt idx="6">
                  <c:v>1966.529</c:v>
                </c:pt>
                <c:pt idx="7">
                  <c:v>1954.2639999999999</c:v>
                </c:pt>
                <c:pt idx="8">
                  <c:v>1965.4649999999999</c:v>
                </c:pt>
                <c:pt idx="9">
                  <c:v>1909.3430000000001</c:v>
                </c:pt>
                <c:pt idx="10">
                  <c:v>1879.1899999999998</c:v>
                </c:pt>
                <c:pt idx="11">
                  <c:v>2137.0440000000003</c:v>
                </c:pt>
                <c:pt idx="12">
                  <c:v>2592.5680000000007</c:v>
                </c:pt>
                <c:pt idx="13">
                  <c:v>2490.3949999999995</c:v>
                </c:pt>
                <c:pt idx="14">
                  <c:v>3208.547</c:v>
                </c:pt>
                <c:pt idx="15" formatCode="General">
                  <c:v>3636.9770000000008</c:v>
                </c:pt>
                <c:pt idx="16" formatCode="General">
                  <c:v>3620.4960000000005</c:v>
                </c:pt>
                <c:pt idx="17" formatCode="General">
                  <c:v>4403.6080000000002</c:v>
                </c:pt>
                <c:pt idx="18" formatCode="General">
                  <c:v>5262.6849999999995</c:v>
                </c:pt>
                <c:pt idx="19" formatCode="General">
                  <c:v>5408.1590000000015</c:v>
                </c:pt>
                <c:pt idx="20" formatCode="General">
                  <c:v>5764.3930000000009</c:v>
                </c:pt>
                <c:pt idx="21" formatCode="General">
                  <c:v>7130.7780000000012</c:v>
                </c:pt>
                <c:pt idx="22" formatCode="General">
                  <c:v>7109.1895000000059</c:v>
                </c:pt>
                <c:pt idx="23" formatCode="General">
                  <c:v>7318.3920000000062</c:v>
                </c:pt>
                <c:pt idx="24" formatCode="General">
                  <c:v>7265.6920000000082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15-4C86-8629-9A2DFEB7B5A2}"/>
            </c:ext>
          </c:extLst>
        </c:ser>
        <c:ser>
          <c:idx val="3"/>
          <c:order val="3"/>
          <c:tx>
            <c:strRef>
              <c:f>'10.2 Efect'!$U$38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cat>
            <c:numRef>
              <c:f>'10.2 Efect'!$Q$39:$Q$63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'10.2 Efect'!$U$39:$U$63</c:f>
              <c:numCache>
                <c:formatCode>General</c:formatCode>
                <c:ptCount val="25"/>
                <c:pt idx="17">
                  <c:v>80</c:v>
                </c:pt>
                <c:pt idx="18">
                  <c:v>80</c:v>
                </c:pt>
                <c:pt idx="19">
                  <c:v>96</c:v>
                </c:pt>
                <c:pt idx="20">
                  <c:v>96</c:v>
                </c:pt>
                <c:pt idx="21">
                  <c:v>96</c:v>
                </c:pt>
                <c:pt idx="22">
                  <c:v>240.48400000000001</c:v>
                </c:pt>
                <c:pt idx="23">
                  <c:v>280.48400000000004</c:v>
                </c:pt>
                <c:pt idx="24">
                  <c:v>285.03399999999999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115-4C86-8629-9A2DFEB7B5A2}"/>
            </c:ext>
          </c:extLst>
        </c:ser>
        <c:ser>
          <c:idx val="4"/>
          <c:order val="4"/>
          <c:tx>
            <c:strRef>
              <c:f>'10.2 Efect'!$V$38</c:f>
              <c:strCache>
                <c:ptCount val="1"/>
                <c:pt idx="0">
                  <c:v>Eólico</c:v>
                </c:pt>
              </c:strCache>
            </c:strRef>
          </c:tx>
          <c:invertIfNegative val="0"/>
          <c:dPt>
            <c:idx val="19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115-4C86-8629-9A2DFEB7B5A2}"/>
              </c:ext>
            </c:extLst>
          </c:dPt>
          <c:cat>
            <c:numRef>
              <c:f>'10.2 Efect'!$Q$39:$Q$63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'10.2 Efect'!$V$39:$V$63</c:f>
              <c:numCache>
                <c:formatCode>General</c:formatCode>
                <c:ptCount val="25"/>
                <c:pt idx="19">
                  <c:v>142.69999999999999</c:v>
                </c:pt>
                <c:pt idx="20">
                  <c:v>239.79999999999998</c:v>
                </c:pt>
                <c:pt idx="21">
                  <c:v>239.95</c:v>
                </c:pt>
                <c:pt idx="22">
                  <c:v>239.95</c:v>
                </c:pt>
                <c:pt idx="23">
                  <c:v>372.24999999999994</c:v>
                </c:pt>
                <c:pt idx="24">
                  <c:v>372.24999999999994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115-4C86-8629-9A2DFEB7B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66208"/>
        <c:axId val="190468480"/>
      </c:barChart>
      <c:catAx>
        <c:axId val="1879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046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46848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2329312614137168E-2"/>
              <c:y val="0.42413793103448277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79662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3557252105017787"/>
          <c:y val="0.89969083174947961"/>
          <c:w val="0.63496897529614482"/>
          <c:h val="9.5814643859172821E-2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POTENCIA EFECTIVA - GENERADORAS PARA USO PROPIO
1 995 - 2 019</a:t>
            </a:r>
          </a:p>
        </c:rich>
      </c:tx>
      <c:layout>
        <c:manualLayout>
          <c:xMode val="edge"/>
          <c:yMode val="edge"/>
          <c:x val="0.31647075457389567"/>
          <c:y val="5.8823625307706101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balanced" dir="t"/>
        </a:scene3d>
        <a:sp3d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7.6532516768737235E-2"/>
          <c:y val="0.2332045450840384"/>
          <c:w val="0.91211713119193438"/>
          <c:h val="0.51393188854489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Efect'!$R$70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'10.2 Efect'!$Q$71:$Q$95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'10.2 Efect'!$R$71:$R$95</c:f>
              <c:numCache>
                <c:formatCode>#\ ##0.00</c:formatCode>
                <c:ptCount val="25"/>
                <c:pt idx="0">
                  <c:v>880.01599999999996</c:v>
                </c:pt>
                <c:pt idx="1">
                  <c:v>1123.7</c:v>
                </c:pt>
                <c:pt idx="2">
                  <c:v>754.18599999999992</c:v>
                </c:pt>
                <c:pt idx="3">
                  <c:v>760.82999999999993</c:v>
                </c:pt>
                <c:pt idx="4">
                  <c:v>798.22699999999998</c:v>
                </c:pt>
                <c:pt idx="5">
                  <c:v>778.91100000000006</c:v>
                </c:pt>
                <c:pt idx="6">
                  <c:v>745.11300000000017</c:v>
                </c:pt>
                <c:pt idx="7">
                  <c:v>737.84200000000055</c:v>
                </c:pt>
                <c:pt idx="8">
                  <c:v>735.41300000000035</c:v>
                </c:pt>
                <c:pt idx="9">
                  <c:v>760.64400000000035</c:v>
                </c:pt>
                <c:pt idx="10">
                  <c:v>812.2620000000004</c:v>
                </c:pt>
                <c:pt idx="11">
                  <c:v>809.03800000000001</c:v>
                </c:pt>
                <c:pt idx="12">
                  <c:v>819.15900000000011</c:v>
                </c:pt>
                <c:pt idx="13">
                  <c:v>904.72799999999995</c:v>
                </c:pt>
                <c:pt idx="14">
                  <c:v>1009.9380000000001</c:v>
                </c:pt>
                <c:pt idx="15" formatCode="General">
                  <c:v>1125.3490000000004</c:v>
                </c:pt>
                <c:pt idx="16" formatCode="General">
                  <c:v>1177.712</c:v>
                </c:pt>
                <c:pt idx="17" formatCode="General">
                  <c:v>1184.3520000000001</c:v>
                </c:pt>
                <c:pt idx="18" formatCode="General">
                  <c:v>1204.8510000000001</c:v>
                </c:pt>
                <c:pt idx="19" formatCode="General">
                  <c:v>1186.5420000000001</c:v>
                </c:pt>
                <c:pt idx="20" formatCode="General">
                  <c:v>1202.1559999999997</c:v>
                </c:pt>
                <c:pt idx="21" formatCode="General">
                  <c:v>1191.7980999999997</c:v>
                </c:pt>
                <c:pt idx="22" formatCode="General">
                  <c:v>1220.8441</c:v>
                </c:pt>
                <c:pt idx="23" formatCode="General">
                  <c:v>1220.6601000000005</c:v>
                </c:pt>
                <c:pt idx="24" formatCode="General">
                  <c:v>1219.6461000000011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98-4A0D-A33F-FCC87EE746A8}"/>
            </c:ext>
          </c:extLst>
        </c:ser>
        <c:ser>
          <c:idx val="1"/>
          <c:order val="1"/>
          <c:tx>
            <c:strRef>
              <c:f>'10.2 Efect'!$S$70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CC"/>
              </a:solidFill>
              <a:prstDash val="solid"/>
            </a:ln>
          </c:spPr>
          <c:invertIfNegative val="0"/>
          <c:cat>
            <c:numRef>
              <c:f>'10.2 Efect'!$Q$71:$Q$95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'10.2 Efect'!$S$71:$S$95</c:f>
              <c:numCache>
                <c:formatCode>#\ ##0.00</c:formatCode>
                <c:ptCount val="25"/>
                <c:pt idx="0">
                  <c:v>268.97000000000003</c:v>
                </c:pt>
                <c:pt idx="1">
                  <c:v>277.02600000000001</c:v>
                </c:pt>
                <c:pt idx="2">
                  <c:v>90.733000000000004</c:v>
                </c:pt>
                <c:pt idx="3">
                  <c:v>93.967000000000013</c:v>
                </c:pt>
                <c:pt idx="4">
                  <c:v>75.48299999999999</c:v>
                </c:pt>
                <c:pt idx="5">
                  <c:v>74.971000000000004</c:v>
                </c:pt>
                <c:pt idx="6">
                  <c:v>69.667999999999992</c:v>
                </c:pt>
                <c:pt idx="7">
                  <c:v>72.418999999999997</c:v>
                </c:pt>
                <c:pt idx="8">
                  <c:v>70.043999999999983</c:v>
                </c:pt>
                <c:pt idx="9">
                  <c:v>67.731999999999999</c:v>
                </c:pt>
                <c:pt idx="10">
                  <c:v>70.430000000000007</c:v>
                </c:pt>
                <c:pt idx="11">
                  <c:v>69.355999999999995</c:v>
                </c:pt>
                <c:pt idx="12">
                  <c:v>73.710999999999984</c:v>
                </c:pt>
                <c:pt idx="13">
                  <c:v>74.780999999999977</c:v>
                </c:pt>
                <c:pt idx="14">
                  <c:v>78.605999999999995</c:v>
                </c:pt>
                <c:pt idx="15" formatCode="General">
                  <c:v>80.084000000000003</c:v>
                </c:pt>
                <c:pt idx="16" formatCode="General">
                  <c:v>81.998999999999995</c:v>
                </c:pt>
                <c:pt idx="17" formatCode="General">
                  <c:v>89.539000000000016</c:v>
                </c:pt>
                <c:pt idx="18" formatCode="General">
                  <c:v>77.372</c:v>
                </c:pt>
                <c:pt idx="19" formatCode="General">
                  <c:v>91.34699999999998</c:v>
                </c:pt>
                <c:pt idx="20" formatCode="General">
                  <c:v>91.72699999999999</c:v>
                </c:pt>
                <c:pt idx="21" formatCode="General">
                  <c:v>102.35899999999999</c:v>
                </c:pt>
                <c:pt idx="22" formatCode="General">
                  <c:v>116.57799999999997</c:v>
                </c:pt>
                <c:pt idx="23" formatCode="General">
                  <c:v>117.36399999999998</c:v>
                </c:pt>
                <c:pt idx="24" formatCode="General">
                  <c:v>118.37999999999997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98-4A0D-A33F-FCC87EE746A8}"/>
            </c:ext>
          </c:extLst>
        </c:ser>
        <c:ser>
          <c:idx val="2"/>
          <c:order val="2"/>
          <c:tx>
            <c:strRef>
              <c:f>'10.2 Efect'!$T$70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12700">
              <a:solidFill>
                <a:schemeClr val="accent6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'10.2 Efect'!$Q$71:$Q$95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'10.2 Efect'!$T$71:$T$95</c:f>
              <c:numCache>
                <c:formatCode>#\ ##0.00</c:formatCode>
                <c:ptCount val="25"/>
                <c:pt idx="0">
                  <c:v>611.04599999999994</c:v>
                </c:pt>
                <c:pt idx="1">
                  <c:v>846.67400000000009</c:v>
                </c:pt>
                <c:pt idx="2">
                  <c:v>663.45299999999997</c:v>
                </c:pt>
                <c:pt idx="3">
                  <c:v>666.86299999999994</c:v>
                </c:pt>
                <c:pt idx="4">
                  <c:v>722.74400000000003</c:v>
                </c:pt>
                <c:pt idx="5">
                  <c:v>703.94</c:v>
                </c:pt>
                <c:pt idx="6">
                  <c:v>675.44500000000016</c:v>
                </c:pt>
                <c:pt idx="7">
                  <c:v>665.42300000000057</c:v>
                </c:pt>
                <c:pt idx="8">
                  <c:v>665.36900000000037</c:v>
                </c:pt>
                <c:pt idx="9">
                  <c:v>692.91200000000038</c:v>
                </c:pt>
                <c:pt idx="10">
                  <c:v>741.83200000000033</c:v>
                </c:pt>
                <c:pt idx="11">
                  <c:v>739.68200000000002</c:v>
                </c:pt>
                <c:pt idx="12">
                  <c:v>745.44800000000009</c:v>
                </c:pt>
                <c:pt idx="13">
                  <c:v>829.947</c:v>
                </c:pt>
                <c:pt idx="14">
                  <c:v>931.33200000000011</c:v>
                </c:pt>
                <c:pt idx="15" formatCode="General">
                  <c:v>1045.2650000000003</c:v>
                </c:pt>
                <c:pt idx="16" formatCode="General">
                  <c:v>1095.713</c:v>
                </c:pt>
                <c:pt idx="17" formatCode="General">
                  <c:v>1094.8130000000001</c:v>
                </c:pt>
                <c:pt idx="18" formatCode="General">
                  <c:v>1127.479</c:v>
                </c:pt>
                <c:pt idx="19" formatCode="General">
                  <c:v>1095.1950000000002</c:v>
                </c:pt>
                <c:pt idx="20" formatCode="General">
                  <c:v>1110.4289999999996</c:v>
                </c:pt>
                <c:pt idx="21" formatCode="General">
                  <c:v>1089.4390999999998</c:v>
                </c:pt>
                <c:pt idx="22" formatCode="General">
                  <c:v>1104.2661000000001</c:v>
                </c:pt>
                <c:pt idx="23" formatCode="General">
                  <c:v>1103.2961000000005</c:v>
                </c:pt>
                <c:pt idx="24" formatCode="General">
                  <c:v>1101.2661000000012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98-4A0D-A33F-FCC87EE74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26048"/>
        <c:axId val="197827968"/>
      </c:barChart>
      <c:catAx>
        <c:axId val="19782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782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82796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2679761748684451E-2"/>
              <c:y val="0.4200078251088179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78260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6923113308192013"/>
          <c:y val="0.88235307543078856"/>
          <c:w val="0.35282078966377983"/>
          <c:h val="6.19194339837955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POTENCIA EFECTIVA 1 995 - 2 019</a:t>
            </a:r>
          </a:p>
        </c:rich>
      </c:tx>
      <c:layout>
        <c:manualLayout>
          <c:xMode val="edge"/>
          <c:yMode val="edge"/>
          <c:x val="0.3161292779579023"/>
          <c:y val="5.6685083856043421E-2"/>
        </c:manualLayout>
      </c:layout>
      <c:overlay val="0"/>
      <c:spPr>
        <a:solidFill>
          <a:srgbClr val="3798AF"/>
        </a:solidFill>
        <a:scene3d>
          <a:camera prst="orthographicFront"/>
          <a:lightRig rig="balanced" dir="t"/>
        </a:scene3d>
        <a:sp3d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8.7028907881053094E-2"/>
          <c:y val="0.21129979091596601"/>
          <c:w val="0.89860154769630951"/>
          <c:h val="0.57603168616927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Efect'!$R$4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'10.2 Efect'!$Q$5:$Q$29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'10.2 Efect'!$R$5:$R$29</c:f>
              <c:numCache>
                <c:formatCode>#\ ##0.00</c:formatCode>
                <c:ptCount val="25"/>
                <c:pt idx="0">
                  <c:v>4075.4080000000004</c:v>
                </c:pt>
                <c:pt idx="1">
                  <c:v>4003.201</c:v>
                </c:pt>
                <c:pt idx="2">
                  <c:v>4581.0190000000002</c:v>
                </c:pt>
                <c:pt idx="3">
                  <c:v>4781.6309999999994</c:v>
                </c:pt>
                <c:pt idx="4">
                  <c:v>5116.1559999999999</c:v>
                </c:pt>
                <c:pt idx="5">
                  <c:v>5554.8460000000005</c:v>
                </c:pt>
                <c:pt idx="6">
                  <c:v>5387.1769999999997</c:v>
                </c:pt>
                <c:pt idx="7">
                  <c:v>5395.6689999999999</c:v>
                </c:pt>
                <c:pt idx="8">
                  <c:v>5421.8069999999998</c:v>
                </c:pt>
                <c:pt idx="9">
                  <c:v>5417.9590700000017</c:v>
                </c:pt>
                <c:pt idx="10">
                  <c:v>5610.9250000000002</c:v>
                </c:pt>
                <c:pt idx="11">
                  <c:v>5873.4000000000005</c:v>
                </c:pt>
                <c:pt idx="12">
                  <c:v>6352.0139999999983</c:v>
                </c:pt>
                <c:pt idx="13">
                  <c:v>6348.9440000000004</c:v>
                </c:pt>
                <c:pt idx="14">
                  <c:v>7256.3469999999998</c:v>
                </c:pt>
                <c:pt idx="15">
                  <c:v>8000.3870000000015</c:v>
                </c:pt>
                <c:pt idx="16">
                  <c:v>8045.5330000000004</c:v>
                </c:pt>
                <c:pt idx="17">
                  <c:v>8939.2570000000014</c:v>
                </c:pt>
                <c:pt idx="18">
                  <c:v>9885.2720000000008</c:v>
                </c:pt>
                <c:pt idx="19">
                  <c:v>10269.342000000002</c:v>
                </c:pt>
                <c:pt idx="20">
                  <c:v>11230.439999999999</c:v>
                </c:pt>
                <c:pt idx="21">
                  <c:v>13642.506100000006</c:v>
                </c:pt>
                <c:pt idx="22">
                  <c:v>13852.100280000006</c:v>
                </c:pt>
                <c:pt idx="23">
                  <c:v>14366.256100000006</c:v>
                </c:pt>
                <c:pt idx="24">
                  <c:v>14378.893100000001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5B-4F9A-B5E4-EDF1BEB5A254}"/>
            </c:ext>
          </c:extLst>
        </c:ser>
        <c:ser>
          <c:idx val="1"/>
          <c:order val="1"/>
          <c:tx>
            <c:strRef>
              <c:f>'10.2 Efect'!$S$4</c:f>
              <c:strCache>
                <c:ptCount val="1"/>
                <c:pt idx="0">
                  <c:v>Hidro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00CC"/>
              </a:solidFill>
            </a:ln>
          </c:spPr>
          <c:invertIfNegative val="0"/>
          <c:cat>
            <c:numRef>
              <c:f>'10.2 Efect'!$Q$5:$Q$29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'10.2 Efect'!$S$5:$S$29</c:f>
              <c:numCache>
                <c:formatCode>#\ ##0.00</c:formatCode>
                <c:ptCount val="25"/>
                <c:pt idx="0">
                  <c:v>2474.8850000000002</c:v>
                </c:pt>
                <c:pt idx="1">
                  <c:v>2201.877</c:v>
                </c:pt>
                <c:pt idx="2">
                  <c:v>2210.904</c:v>
                </c:pt>
                <c:pt idx="3">
                  <c:v>2116.8689999999997</c:v>
                </c:pt>
                <c:pt idx="4">
                  <c:v>2318.1080000000002</c:v>
                </c:pt>
                <c:pt idx="5">
                  <c:v>2650.8950000000004</c:v>
                </c:pt>
                <c:pt idx="6">
                  <c:v>2744.5029999999997</c:v>
                </c:pt>
                <c:pt idx="7">
                  <c:v>2775.2819999999997</c:v>
                </c:pt>
                <c:pt idx="8">
                  <c:v>2790.2730000000001</c:v>
                </c:pt>
                <c:pt idx="9">
                  <c:v>2815.0040700000009</c:v>
                </c:pt>
                <c:pt idx="10">
                  <c:v>2989.203</c:v>
                </c:pt>
                <c:pt idx="11">
                  <c:v>2995.9740000000002</c:v>
                </c:pt>
                <c:pt idx="12">
                  <c:v>3013.297999999998</c:v>
                </c:pt>
                <c:pt idx="13">
                  <c:v>3027.9020000000005</c:v>
                </c:pt>
                <c:pt idx="14">
                  <c:v>3115.768</c:v>
                </c:pt>
                <c:pt idx="15">
                  <c:v>3317.4450000000006</c:v>
                </c:pt>
                <c:pt idx="16">
                  <c:v>3328.6240000000003</c:v>
                </c:pt>
                <c:pt idx="17">
                  <c:v>3360.136</c:v>
                </c:pt>
                <c:pt idx="18">
                  <c:v>3414.4079999999994</c:v>
                </c:pt>
                <c:pt idx="19">
                  <c:v>3527.2880000000005</c:v>
                </c:pt>
                <c:pt idx="20">
                  <c:v>4019.8180000000002</c:v>
                </c:pt>
                <c:pt idx="21">
                  <c:v>5086.3390000000027</c:v>
                </c:pt>
                <c:pt idx="22">
                  <c:v>5158.2106799999983</c:v>
                </c:pt>
                <c:pt idx="23">
                  <c:v>5291.833999999998</c:v>
                </c:pt>
                <c:pt idx="24">
                  <c:v>5354.6509999999926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5B-4F9A-B5E4-EDF1BEB5A254}"/>
            </c:ext>
          </c:extLst>
        </c:ser>
        <c:ser>
          <c:idx val="2"/>
          <c:order val="2"/>
          <c:tx>
            <c:strRef>
              <c:f>'10.2 Efect'!$T$4</c:f>
              <c:strCache>
                <c:ptCount val="1"/>
                <c:pt idx="0">
                  <c:v>Termo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cat>
            <c:numRef>
              <c:f>'10.2 Efect'!$Q$5:$Q$29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'10.2 Efect'!$T$5:$T$29</c:f>
              <c:numCache>
                <c:formatCode>#\ ##0.00</c:formatCode>
                <c:ptCount val="25"/>
                <c:pt idx="0">
                  <c:v>1600.5229999999999</c:v>
                </c:pt>
                <c:pt idx="1">
                  <c:v>1801.0740000000001</c:v>
                </c:pt>
                <c:pt idx="2">
                  <c:v>2369.8649999999998</c:v>
                </c:pt>
                <c:pt idx="3">
                  <c:v>2664.5119999999997</c:v>
                </c:pt>
                <c:pt idx="4">
                  <c:v>2797.348</c:v>
                </c:pt>
                <c:pt idx="5">
                  <c:v>2903.2510000000002</c:v>
                </c:pt>
                <c:pt idx="6">
                  <c:v>2641.9740000000002</c:v>
                </c:pt>
                <c:pt idx="7">
                  <c:v>2619.6870000000004</c:v>
                </c:pt>
                <c:pt idx="8">
                  <c:v>2630.8340000000003</c:v>
                </c:pt>
                <c:pt idx="9">
                  <c:v>2602.2550000000006</c:v>
                </c:pt>
                <c:pt idx="10">
                  <c:v>2621.0219999999999</c:v>
                </c:pt>
                <c:pt idx="11">
                  <c:v>2876.7260000000006</c:v>
                </c:pt>
                <c:pt idx="12">
                  <c:v>3338.0160000000005</c:v>
                </c:pt>
                <c:pt idx="13">
                  <c:v>3320.3419999999996</c:v>
                </c:pt>
                <c:pt idx="14">
                  <c:v>4139.8789999999999</c:v>
                </c:pt>
                <c:pt idx="15">
                  <c:v>4682.2420000000011</c:v>
                </c:pt>
                <c:pt idx="16">
                  <c:v>4716.2090000000007</c:v>
                </c:pt>
                <c:pt idx="17">
                  <c:v>5498.4210000000003</c:v>
                </c:pt>
                <c:pt idx="18">
                  <c:v>6390.1639999999998</c:v>
                </c:pt>
                <c:pt idx="19">
                  <c:v>6503.3540000000012</c:v>
                </c:pt>
                <c:pt idx="20">
                  <c:v>6874.8220000000001</c:v>
                </c:pt>
                <c:pt idx="21">
                  <c:v>8220.2171000000017</c:v>
                </c:pt>
                <c:pt idx="22">
                  <c:v>8213.4556000000066</c:v>
                </c:pt>
                <c:pt idx="23">
                  <c:v>8421.6881000000067</c:v>
                </c:pt>
                <c:pt idx="24">
                  <c:v>8366.9581000000089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5B-4F9A-B5E4-EDF1BEB5A254}"/>
            </c:ext>
          </c:extLst>
        </c:ser>
        <c:ser>
          <c:idx val="3"/>
          <c:order val="3"/>
          <c:tx>
            <c:strRef>
              <c:f>'10.2 Efect'!$U$4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cat>
            <c:numRef>
              <c:f>'10.2 Efect'!$Q$5:$Q$29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'10.2 Efect'!$U$5:$U$29</c:f>
              <c:numCache>
                <c:formatCode>General</c:formatCode>
                <c:ptCount val="25"/>
                <c:pt idx="17" formatCode="#\ ##0.0">
                  <c:v>80</c:v>
                </c:pt>
                <c:pt idx="18" formatCode="#\ ##0.0">
                  <c:v>80</c:v>
                </c:pt>
                <c:pt idx="19" formatCode="#\ ##0.0">
                  <c:v>96</c:v>
                </c:pt>
                <c:pt idx="20" formatCode="#\ ##0.0">
                  <c:v>96</c:v>
                </c:pt>
                <c:pt idx="21" formatCode="#\ ##0.0">
                  <c:v>96</c:v>
                </c:pt>
                <c:pt idx="22" formatCode="#\ ##0.0">
                  <c:v>240.48400000000001</c:v>
                </c:pt>
                <c:pt idx="23" formatCode="#\ ##0.0">
                  <c:v>280.48400000000004</c:v>
                </c:pt>
                <c:pt idx="24" formatCode="#\ ##0.0">
                  <c:v>285.03399999999999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5B-4F9A-B5E4-EDF1BEB5A254}"/>
            </c:ext>
          </c:extLst>
        </c:ser>
        <c:ser>
          <c:idx val="4"/>
          <c:order val="4"/>
          <c:tx>
            <c:strRef>
              <c:f>'10.2 Efect'!$V$4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'10.2 Efect'!$Q$5:$Q$29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'10.2 Efect'!$V$5:$V$29</c:f>
              <c:numCache>
                <c:formatCode>General</c:formatCode>
                <c:ptCount val="25"/>
                <c:pt idx="19" formatCode="#\ ##0.0">
                  <c:v>142.69999999999999</c:v>
                </c:pt>
                <c:pt idx="20" formatCode="#\ ##0.0">
                  <c:v>239.79999999999998</c:v>
                </c:pt>
                <c:pt idx="21" formatCode="#\ ##0.0">
                  <c:v>239.95</c:v>
                </c:pt>
                <c:pt idx="22" formatCode="#\ ##0.0">
                  <c:v>239.95</c:v>
                </c:pt>
                <c:pt idx="23" formatCode="#\ ##0.0">
                  <c:v>372.24999999999994</c:v>
                </c:pt>
                <c:pt idx="24" formatCode="#\ ##0.0">
                  <c:v>372.24999999999994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5B-4F9A-B5E4-EDF1BEB5A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03744"/>
        <c:axId val="198305280"/>
      </c:barChart>
      <c:catAx>
        <c:axId val="19830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9830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305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674015748031496E-2"/>
              <c:y val="0.416949864317807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98303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43904070814678"/>
          <c:y val="0.90445375683971707"/>
          <c:w val="0.43517441202202667"/>
          <c:h val="7.3474442813292407E-2"/>
        </c:manualLayout>
      </c:layout>
      <c:overlay val="0"/>
      <c:spPr>
        <a:noFill/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CRECIMIENTO MEDIO ANUAL DE POTENCIA INSTALADA - POR DÉCADAS</a:t>
            </a:r>
          </a:p>
        </c:rich>
      </c:tx>
      <c:layout>
        <c:manualLayout>
          <c:xMode val="edge"/>
          <c:yMode val="edge"/>
          <c:x val="0.28462613225978334"/>
          <c:y val="1.3736263736263736E-2"/>
        </c:manualLayout>
      </c:layout>
      <c:overlay val="0"/>
      <c:spPr>
        <a:solidFill>
          <a:srgbClr val="3798AF"/>
        </a:solidFill>
        <a:ln w="3175"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252607735744608"/>
          <c:y val="0.15934087308560629"/>
          <c:w val="0.86627105941146465"/>
          <c:h val="0.63013800110377083"/>
        </c:manualLayout>
      </c:layout>
      <c:lineChart>
        <c:grouping val="standard"/>
        <c:varyColors val="0"/>
        <c:ser>
          <c:idx val="0"/>
          <c:order val="0"/>
          <c:tx>
            <c:strRef>
              <c:f>'10.3 Incre PI'!$K$31</c:f>
              <c:strCache>
                <c:ptCount val="1"/>
                <c:pt idx="0">
                  <c:v>Hidráulica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492420368818408E-3"/>
                  <c:y val="-3.6403112516645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8,3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680-449C-A5B8-D4C7D30B68AF}"/>
                </c:ext>
              </c:extLst>
            </c:dLbl>
            <c:dLbl>
              <c:idx val="1"/>
              <c:layout>
                <c:manualLayout>
                  <c:x val="-4.654865488974938E-3"/>
                  <c:y val="-3.09965085409910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7,3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680-449C-A5B8-D4C7D30B68AF}"/>
                </c:ext>
              </c:extLst>
            </c:dLbl>
            <c:dLbl>
              <c:idx val="2"/>
              <c:layout>
                <c:manualLayout>
                  <c:x val="-9.0745023743366016E-3"/>
                  <c:y val="3.79966968403368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2,5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680-449C-A5B8-D4C7D30B68AF}"/>
                </c:ext>
              </c:extLst>
            </c:dLbl>
            <c:dLbl>
              <c:idx val="3"/>
              <c:layout>
                <c:manualLayout>
                  <c:x val="-3.898244003833258E-2"/>
                  <c:y val="-5.30719785467335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1,8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680-449C-A5B8-D4C7D30B68A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 1,7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680-449C-A5B8-D4C7D30B68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'10.3 Incre PI'!$B$33:$B$38</c:f>
              <c:strCache>
                <c:ptCount val="6"/>
                <c:pt idx="0">
                  <c:v>(60 - 70) </c:v>
                </c:pt>
                <c:pt idx="1">
                  <c:v>(70 - 80) </c:v>
                </c:pt>
                <c:pt idx="2">
                  <c:v>(80 - 90) </c:v>
                </c:pt>
                <c:pt idx="3">
                  <c:v>(90 - 00) </c:v>
                </c:pt>
                <c:pt idx="4">
                  <c:v>(00 - 10) </c:v>
                </c:pt>
                <c:pt idx="5">
                  <c:v>(10 - 19) </c:v>
                </c:pt>
              </c:strCache>
            </c:strRef>
          </c:cat>
          <c:val>
            <c:numRef>
              <c:f>'10.3 Incre PI'!$K$33:$K$38</c:f>
              <c:numCache>
                <c:formatCode>#,##0.00</c:formatCode>
                <c:ptCount val="6"/>
                <c:pt idx="0">
                  <c:v>8.3039365235490372</c:v>
                </c:pt>
                <c:pt idx="1">
                  <c:v>7.3067499776836131</c:v>
                </c:pt>
                <c:pt idx="2">
                  <c:v>2.5390095992125161</c:v>
                </c:pt>
                <c:pt idx="3">
                  <c:v>1.7585380421311969</c:v>
                </c:pt>
                <c:pt idx="4">
                  <c:v>1.867863002019976</c:v>
                </c:pt>
                <c:pt idx="5">
                  <c:v>5.800852013631097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680-449C-A5B8-D4C7D30B68AF}"/>
            </c:ext>
          </c:extLst>
        </c:ser>
        <c:ser>
          <c:idx val="1"/>
          <c:order val="1"/>
          <c:tx>
            <c:strRef>
              <c:f>'10.3 Incre PI'!$L$31</c:f>
              <c:strCache>
                <c:ptCount val="1"/>
                <c:pt idx="0">
                  <c:v>Térmica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7068975741620937E-3"/>
                  <c:y val="6.7408086394071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7,6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680-449C-A5B8-D4C7D30B68AF}"/>
                </c:ext>
              </c:extLst>
            </c:dLbl>
            <c:dLbl>
              <c:idx val="1"/>
              <c:layout>
                <c:manualLayout>
                  <c:x val="-5.2203191219964376E-2"/>
                  <c:y val="4.44494196313343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5,4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680-449C-A5B8-D4C7D30B68AF}"/>
                </c:ext>
              </c:extLst>
            </c:dLbl>
            <c:dLbl>
              <c:idx val="2"/>
              <c:layout>
                <c:manualLayout>
                  <c:x val="-3.2292455531244407E-2"/>
                  <c:y val="-7.6253203499587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3,2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680-449C-A5B8-D4C7D30B68AF}"/>
                </c:ext>
              </c:extLst>
            </c:dLbl>
            <c:dLbl>
              <c:idx val="3"/>
              <c:layout>
                <c:manualLayout>
                  <c:x val="3.9631653149046035E-3"/>
                  <c:y val="-2.71890100104087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6,3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680-449C-A5B8-D4C7D30B68A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 4,6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680-449C-A5B8-D4C7D30B68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'10.3 Incre PI'!$B$33:$B$38</c:f>
              <c:strCache>
                <c:ptCount val="6"/>
                <c:pt idx="0">
                  <c:v>(60 - 70) </c:v>
                </c:pt>
                <c:pt idx="1">
                  <c:v>(70 - 80) </c:v>
                </c:pt>
                <c:pt idx="2">
                  <c:v>(80 - 90) </c:v>
                </c:pt>
                <c:pt idx="3">
                  <c:v>(90 - 00) </c:v>
                </c:pt>
                <c:pt idx="4">
                  <c:v>(00 - 10) </c:v>
                </c:pt>
                <c:pt idx="5">
                  <c:v>(10 - 19) </c:v>
                </c:pt>
              </c:strCache>
            </c:strRef>
          </c:cat>
          <c:val>
            <c:numRef>
              <c:f>'10.3 Incre PI'!$L$33:$L$38</c:f>
              <c:numCache>
                <c:formatCode>#,##0.00</c:formatCode>
                <c:ptCount val="6"/>
                <c:pt idx="0">
                  <c:v>7.5849049304861138</c:v>
                </c:pt>
                <c:pt idx="1">
                  <c:v>5.3666730617605518</c:v>
                </c:pt>
                <c:pt idx="2">
                  <c:v>3.1990012246224886</c:v>
                </c:pt>
                <c:pt idx="3">
                  <c:v>6.2888573267164682</c:v>
                </c:pt>
                <c:pt idx="4">
                  <c:v>4.8944134072639978</c:v>
                </c:pt>
                <c:pt idx="5">
                  <c:v>7.2595846315198997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1680-449C-A5B8-D4C7D30B6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20640"/>
        <c:axId val="202293248"/>
      </c:lineChart>
      <c:catAx>
        <c:axId val="201520640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Períodos</a:t>
                </a:r>
              </a:p>
            </c:rich>
          </c:tx>
          <c:layout>
            <c:manualLayout>
              <c:xMode val="edge"/>
              <c:yMode val="edge"/>
              <c:x val="0.50187693643557707"/>
              <c:y val="0.839952121369444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0229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2932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(%)</a:t>
                </a:r>
              </a:p>
            </c:rich>
          </c:tx>
          <c:layout>
            <c:manualLayout>
              <c:xMode val="edge"/>
              <c:yMode val="edge"/>
              <c:x val="7.4294002723343799E-3"/>
              <c:y val="0.472528049378443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01520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101454423460224"/>
          <c:y val="0.9180949496697528"/>
          <c:w val="0.17820387583131053"/>
          <c:h val="5.7425514118427556E-2"/>
        </c:manualLayout>
      </c:layout>
      <c:overlay val="0"/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ctr" rtl="0">
              <a:def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PRODUCCIÓN DE 
ENERGÍA ELÉCTRICA 1 995 - 2 019</a:t>
            </a:r>
          </a:p>
        </c:rich>
      </c:tx>
      <c:layout/>
      <c:overlay val="0"/>
      <c:spPr>
        <a:solidFill>
          <a:srgbClr val="3798AF"/>
        </a:solidFill>
        <a:scene3d>
          <a:camera prst="orthographicFront"/>
          <a:lightRig rig="balanced" dir="t"/>
        </a:scene3d>
        <a:sp3d>
          <a:bevelT w="50800" h="57150"/>
        </a:sp3d>
      </c:spPr>
    </c:title>
    <c:autoTitleDeleted val="0"/>
    <c:plotArea>
      <c:layout>
        <c:manualLayout>
          <c:layoutTarget val="inner"/>
          <c:xMode val="edge"/>
          <c:yMode val="edge"/>
          <c:x val="9.9262795402092638E-2"/>
          <c:y val="0.18273167148157138"/>
          <c:w val="0.86730156754121146"/>
          <c:h val="0.63060550869161269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Prod'!$S$7</c:f>
              <c:strCache>
                <c:ptCount val="1"/>
                <c:pt idx="0">
                  <c:v>Hidráulica</c:v>
                </c:pt>
              </c:strCache>
            </c:strRef>
          </c:tx>
          <c:cat>
            <c:numRef>
              <c:f>'10.4 Prod'!$R$8:$R$33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'10.4 Prod'!$S$8:$S$33</c:f>
              <c:numCache>
                <c:formatCode>0.0</c:formatCode>
                <c:ptCount val="26"/>
                <c:pt idx="0">
                  <c:v>12937.553461</c:v>
                </c:pt>
                <c:pt idx="1">
                  <c:v>13323.572077999999</c:v>
                </c:pt>
                <c:pt idx="2">
                  <c:v>13214.529482000002</c:v>
                </c:pt>
                <c:pt idx="3">
                  <c:v>13808.285138000003</c:v>
                </c:pt>
                <c:pt idx="4">
                  <c:v>14540.581285</c:v>
                </c:pt>
                <c:pt idx="5">
                  <c:v>16176.051366</c:v>
                </c:pt>
                <c:pt idx="6">
                  <c:v>17614.760199999997</c:v>
                </c:pt>
                <c:pt idx="7">
                  <c:v>18040.127915000005</c:v>
                </c:pt>
                <c:pt idx="8">
                  <c:v>18533.720860999994</c:v>
                </c:pt>
                <c:pt idx="9">
                  <c:v>17525.338961000005</c:v>
                </c:pt>
                <c:pt idx="10">
                  <c:v>17976.993336</c:v>
                </c:pt>
                <c:pt idx="11">
                  <c:v>19594.347163999995</c:v>
                </c:pt>
                <c:pt idx="12">
                  <c:v>19548.782020000002</c:v>
                </c:pt>
                <c:pt idx="13">
                  <c:v>19059.617748999997</c:v>
                </c:pt>
                <c:pt idx="14">
                  <c:v>19903.776404</c:v>
                </c:pt>
                <c:pt idx="15">
                  <c:v>20052.129280199999</c:v>
                </c:pt>
                <c:pt idx="16">
                  <c:v>21557.326716785243</c:v>
                </c:pt>
                <c:pt idx="17">
                  <c:v>22031.93804599997</c:v>
                </c:pt>
                <c:pt idx="18">
                  <c:v>22319.562549983006</c:v>
                </c:pt>
                <c:pt idx="19">
                  <c:v>22210.659487894649</c:v>
                </c:pt>
                <c:pt idx="20">
                  <c:v>23722.747563457589</c:v>
                </c:pt>
                <c:pt idx="21">
                  <c:v>24171.687750762609</c:v>
                </c:pt>
                <c:pt idx="22">
                  <c:v>29074.513497615771</c:v>
                </c:pt>
                <c:pt idx="23">
                  <c:v>29074.513497615771</c:v>
                </c:pt>
                <c:pt idx="24">
                  <c:v>30737.457609388162</c:v>
                </c:pt>
                <c:pt idx="25">
                  <c:v>31462.088372515347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A-4F35-BBD8-F425BE862AAE}"/>
            </c:ext>
          </c:extLst>
        </c:ser>
        <c:ser>
          <c:idx val="1"/>
          <c:order val="1"/>
          <c:tx>
            <c:strRef>
              <c:f>'10.4 Prod'!$T$7</c:f>
              <c:strCache>
                <c:ptCount val="1"/>
                <c:pt idx="0">
                  <c:v>Térmica</c:v>
                </c:pt>
              </c:strCache>
            </c:strRef>
          </c:tx>
          <c:cat>
            <c:numRef>
              <c:f>'10.4 Prod'!$R$8:$R$33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'10.4 Prod'!$T$8:$T$33</c:f>
              <c:numCache>
                <c:formatCode>0.0</c:formatCode>
                <c:ptCount val="26"/>
                <c:pt idx="0">
                  <c:v>3942.5611400000003</c:v>
                </c:pt>
                <c:pt idx="1">
                  <c:v>3955.8302150000004</c:v>
                </c:pt>
                <c:pt idx="2">
                  <c:v>4738.3224370000007</c:v>
                </c:pt>
                <c:pt idx="3">
                  <c:v>4773.7272680000005</c:v>
                </c:pt>
                <c:pt idx="4">
                  <c:v>4508.4115320000001</c:v>
                </c:pt>
                <c:pt idx="5">
                  <c:v>3745.8002719999995</c:v>
                </c:pt>
                <c:pt idx="6">
                  <c:v>3169.7389349999999</c:v>
                </c:pt>
                <c:pt idx="7">
                  <c:v>3940.9688570000035</c:v>
                </c:pt>
                <c:pt idx="8">
                  <c:v>4388.4066130000028</c:v>
                </c:pt>
                <c:pt idx="9">
                  <c:v>6740.4467100000011</c:v>
                </c:pt>
                <c:pt idx="10">
                  <c:v>7531.5170790000029</c:v>
                </c:pt>
                <c:pt idx="11">
                  <c:v>7774.255163580001</c:v>
                </c:pt>
                <c:pt idx="12">
                  <c:v>10393.038722000001</c:v>
                </c:pt>
                <c:pt idx="13">
                  <c:v>13402.262134000001</c:v>
                </c:pt>
                <c:pt idx="14">
                  <c:v>13039.733016999999</c:v>
                </c:pt>
                <c:pt idx="15">
                  <c:v>15854.652260999999</c:v>
                </c:pt>
                <c:pt idx="16">
                  <c:v>17247.908127223669</c:v>
                </c:pt>
                <c:pt idx="17">
                  <c:v>18943.135640407931</c:v>
                </c:pt>
                <c:pt idx="18">
                  <c:v>20812.461130502368</c:v>
                </c:pt>
                <c:pt idx="19">
                  <c:v>22882.315829837717</c:v>
                </c:pt>
                <c:pt idx="20">
                  <c:v>23721.80061976959</c:v>
                </c:pt>
                <c:pt idx="21">
                  <c:v>26210.301757717174</c:v>
                </c:pt>
                <c:pt idx="22">
                  <c:v>22264.907211657053</c:v>
                </c:pt>
                <c:pt idx="23">
                  <c:v>22264.907211657053</c:v>
                </c:pt>
                <c:pt idx="24">
                  <c:v>21907.860842221646</c:v>
                </c:pt>
                <c:pt idx="25">
                  <c:v>23088.318116721472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BA-4F35-BBD8-F425BE862AAE}"/>
            </c:ext>
          </c:extLst>
        </c:ser>
        <c:ser>
          <c:idx val="2"/>
          <c:order val="2"/>
          <c:tx>
            <c:strRef>
              <c:f>'10.4 Prod'!$U$7</c:f>
              <c:strCache>
                <c:ptCount val="1"/>
                <c:pt idx="0">
                  <c:v>Solar</c:v>
                </c:pt>
              </c:strCache>
            </c:strRef>
          </c:tx>
          <c:cat>
            <c:numRef>
              <c:f>'10.4 Prod'!$R$8:$R$33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'10.4 Prod'!$U$8:$U$33</c:f>
              <c:numCache>
                <c:formatCode>General</c:formatCode>
                <c:ptCount val="26"/>
                <c:pt idx="17" formatCode="0.0">
                  <c:v>59.682986800000002</c:v>
                </c:pt>
                <c:pt idx="18" formatCode="0.0">
                  <c:v>196.92788000000002</c:v>
                </c:pt>
                <c:pt idx="19" formatCode="0.0">
                  <c:v>199.30359694553749</c:v>
                </c:pt>
                <c:pt idx="20" formatCode="0.0">
                  <c:v>230.25534300000001</c:v>
                </c:pt>
                <c:pt idx="21" formatCode="0.0">
                  <c:v>241.00855899999999</c:v>
                </c:pt>
                <c:pt idx="22" formatCode="0.0">
                  <c:v>287.20034299999998</c:v>
                </c:pt>
                <c:pt idx="23" formatCode="0.0">
                  <c:v>287.20034299999998</c:v>
                </c:pt>
                <c:pt idx="24" formatCode="0.0">
                  <c:v>745.40054000000009</c:v>
                </c:pt>
                <c:pt idx="25" formatCode="0.0">
                  <c:v>763.05863999999997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FBA-4F35-BBD8-F425BE862AAE}"/>
            </c:ext>
          </c:extLst>
        </c:ser>
        <c:ser>
          <c:idx val="3"/>
          <c:order val="3"/>
          <c:tx>
            <c:strRef>
              <c:f>'10.4 Prod'!$V$7</c:f>
              <c:strCache>
                <c:ptCount val="1"/>
                <c:pt idx="0">
                  <c:v>Eólica</c:v>
                </c:pt>
              </c:strCache>
            </c:strRef>
          </c:tx>
          <c:cat>
            <c:numRef>
              <c:f>'10.4 Prod'!$R$8:$R$33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'10.4 Prod'!$V$8:$V$33</c:f>
              <c:numCache>
                <c:formatCode>General</c:formatCode>
                <c:ptCount val="26"/>
                <c:pt idx="19" formatCode="0.0">
                  <c:v>257.5406575769008</c:v>
                </c:pt>
                <c:pt idx="20" formatCode="0.0">
                  <c:v>595.60053148867007</c:v>
                </c:pt>
                <c:pt idx="21" formatCode="0.0">
                  <c:v>1063.8290854064544</c:v>
                </c:pt>
                <c:pt idx="22" formatCode="0.0">
                  <c:v>1073.432268</c:v>
                </c:pt>
                <c:pt idx="23" formatCode="0.0">
                  <c:v>1073.432268</c:v>
                </c:pt>
                <c:pt idx="24" formatCode="0.0">
                  <c:v>1502.4381678166665</c:v>
                </c:pt>
                <c:pt idx="25" formatCode="0.0">
                  <c:v>1655.0389929999999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FBA-4F35-BBD8-F425BE862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224320"/>
        <c:axId val="215227776"/>
      </c:areaChart>
      <c:catAx>
        <c:axId val="2152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1522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22777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4162854149160209E-2"/>
              <c:y val="0.4388574771527052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15224320"/>
        <c:crosses val="autoZero"/>
        <c:crossBetween val="midCat"/>
        <c:majorUnit val="10000"/>
        <c:minorUnit val="1000"/>
      </c:valAx>
    </c:plotArea>
    <c:legend>
      <c:legendPos val="r"/>
      <c:layout>
        <c:manualLayout>
          <c:xMode val="edge"/>
          <c:yMode val="edge"/>
          <c:x val="0.34018964032657972"/>
          <c:y val="0.89717800335199072"/>
          <c:w val="0.29231728445011562"/>
          <c:h val="8.6081016981311098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1" l="0.75" r="0.75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ctr" rtl="0">
              <a:def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PRODUCCIÓN DE ENERGÍA ELÉCTRICA 
PARA EL MERCADO ELÉCTRICO 1 995 - 2 019</a:t>
            </a:r>
          </a:p>
        </c:rich>
      </c:tx>
      <c:layout>
        <c:manualLayout>
          <c:xMode val="edge"/>
          <c:yMode val="edge"/>
          <c:x val="0.34622778198314902"/>
          <c:y val="1.6339745506495234E-2"/>
        </c:manualLayout>
      </c:layout>
      <c:overlay val="0"/>
      <c:spPr>
        <a:solidFill>
          <a:srgbClr val="3798AF"/>
        </a:solidFill>
        <a:scene3d>
          <a:camera prst="orthographicFront"/>
          <a:lightRig rig="balanced" dir="t"/>
        </a:scene3d>
        <a:sp3d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785469245418998"/>
          <c:y val="0.19155078308839282"/>
          <c:w val="0.85878567954030527"/>
          <c:h val="0.60862330344422899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Prod'!$S$50</c:f>
              <c:strCache>
                <c:ptCount val="1"/>
                <c:pt idx="0">
                  <c:v>Hidráulica</c:v>
                </c:pt>
              </c:strCache>
            </c:strRef>
          </c:tx>
          <c:cat>
            <c:numRef>
              <c:f>'10.4 Prod'!$R$51:$R$75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'10.4 Prod'!$S$51:$S$75</c:f>
              <c:numCache>
                <c:formatCode>0.0</c:formatCode>
                <c:ptCount val="25"/>
                <c:pt idx="0">
                  <c:v>11540.590328999999</c:v>
                </c:pt>
                <c:pt idx="1">
                  <c:v>11847.925377</c:v>
                </c:pt>
                <c:pt idx="2">
                  <c:v>12264.791790000001</c:v>
                </c:pt>
                <c:pt idx="3">
                  <c:v>13367.193777000002</c:v>
                </c:pt>
                <c:pt idx="4">
                  <c:v>14110.592026</c:v>
                </c:pt>
                <c:pt idx="5">
                  <c:v>15747.323264999999</c:v>
                </c:pt>
                <c:pt idx="6">
                  <c:v>17188.330773999998</c:v>
                </c:pt>
                <c:pt idx="7">
                  <c:v>17638.158238000004</c:v>
                </c:pt>
                <c:pt idx="8">
                  <c:v>18118.333137999995</c:v>
                </c:pt>
                <c:pt idx="9">
                  <c:v>17100.664633000004</c:v>
                </c:pt>
                <c:pt idx="10">
                  <c:v>17567.105377792748</c:v>
                </c:pt>
                <c:pt idx="11">
                  <c:v>19160.751642958581</c:v>
                </c:pt>
                <c:pt idx="12">
                  <c:v>19107.193966340001</c:v>
                </c:pt>
                <c:pt idx="13">
                  <c:v>18607.792106999997</c:v>
                </c:pt>
                <c:pt idx="14">
                  <c:v>19419.221612000001</c:v>
                </c:pt>
                <c:pt idx="15">
                  <c:v>19567.404609199999</c:v>
                </c:pt>
                <c:pt idx="16">
                  <c:v>21027.418404235243</c:v>
                </c:pt>
                <c:pt idx="17">
                  <c:v>21490.80766299997</c:v>
                </c:pt>
                <c:pt idx="18">
                  <c:v>21709.384683427139</c:v>
                </c:pt>
                <c:pt idx="19">
                  <c:v>21610.924675940143</c:v>
                </c:pt>
                <c:pt idx="20">
                  <c:v>23127.103615596498</c:v>
                </c:pt>
                <c:pt idx="21">
                  <c:v>23652.579328757867</c:v>
                </c:pt>
                <c:pt idx="22">
                  <c:v>28393.01122177652</c:v>
                </c:pt>
                <c:pt idx="23">
                  <c:v>29989.333366932755</c:v>
                </c:pt>
                <c:pt idx="24">
                  <c:v>30769.211305633791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90-4B0F-9B29-71773E0FF3AD}"/>
            </c:ext>
          </c:extLst>
        </c:ser>
        <c:ser>
          <c:idx val="1"/>
          <c:order val="1"/>
          <c:tx>
            <c:strRef>
              <c:f>'10.4 Prod'!$T$50</c:f>
              <c:strCache>
                <c:ptCount val="1"/>
                <c:pt idx="0">
                  <c:v>Térmica</c:v>
                </c:pt>
              </c:strCache>
            </c:strRef>
          </c:tx>
          <c:cat>
            <c:numRef>
              <c:f>'10.4 Prod'!$R$51:$R$75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'10.4 Prod'!$T$51:$T$75</c:f>
              <c:numCache>
                <c:formatCode>0.0</c:formatCode>
                <c:ptCount val="25"/>
                <c:pt idx="0">
                  <c:v>1565.7227680000001</c:v>
                </c:pt>
                <c:pt idx="1">
                  <c:v>1459.2416440000002</c:v>
                </c:pt>
                <c:pt idx="2">
                  <c:v>3083.2094300000008</c:v>
                </c:pt>
                <c:pt idx="3">
                  <c:v>3448.2166299999999</c:v>
                </c:pt>
                <c:pt idx="4">
                  <c:v>3255.0052719999999</c:v>
                </c:pt>
                <c:pt idx="5">
                  <c:v>2579.7287539999998</c:v>
                </c:pt>
                <c:pt idx="6">
                  <c:v>2024.9494680000003</c:v>
                </c:pt>
                <c:pt idx="7">
                  <c:v>2780.1240350000003</c:v>
                </c:pt>
                <c:pt idx="8">
                  <c:v>3241.9033919999997</c:v>
                </c:pt>
                <c:pt idx="9">
                  <c:v>5518.0477580000006</c:v>
                </c:pt>
                <c:pt idx="10">
                  <c:v>6242.5431669999998</c:v>
                </c:pt>
                <c:pt idx="11">
                  <c:v>6451.7857470000008</c:v>
                </c:pt>
                <c:pt idx="12">
                  <c:v>9092.0707240000011</c:v>
                </c:pt>
                <c:pt idx="13">
                  <c:v>11965.692749000002</c:v>
                </c:pt>
                <c:pt idx="14">
                  <c:v>11501.454770999999</c:v>
                </c:pt>
                <c:pt idx="15">
                  <c:v>13977.184797999998</c:v>
                </c:pt>
                <c:pt idx="16">
                  <c:v>15219.887485999998</c:v>
                </c:pt>
                <c:pt idx="17">
                  <c:v>16809.312290999984</c:v>
                </c:pt>
                <c:pt idx="18">
                  <c:v>18757.127455751826</c:v>
                </c:pt>
                <c:pt idx="19">
                  <c:v>20778.478798658423</c:v>
                </c:pt>
                <c:pt idx="20">
                  <c:v>21758.428387300512</c:v>
                </c:pt>
                <c:pt idx="21">
                  <c:v>24576.663937622372</c:v>
                </c:pt>
                <c:pt idx="22">
                  <c:v>20591.218352000004</c:v>
                </c:pt>
                <c:pt idx="23">
                  <c:v>20125.222511950011</c:v>
                </c:pt>
                <c:pt idx="24">
                  <c:v>21261.283020000013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90-4B0F-9B29-71773E0FF3AD}"/>
            </c:ext>
          </c:extLst>
        </c:ser>
        <c:ser>
          <c:idx val="2"/>
          <c:order val="2"/>
          <c:tx>
            <c:strRef>
              <c:f>'10.4 Prod'!$U$50</c:f>
              <c:strCache>
                <c:ptCount val="1"/>
                <c:pt idx="0">
                  <c:v>Solar</c:v>
                </c:pt>
              </c:strCache>
            </c:strRef>
          </c:tx>
          <c:cat>
            <c:numRef>
              <c:f>'10.4 Prod'!$R$51:$R$75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'10.4 Prod'!$U$51:$U$75</c:f>
              <c:numCache>
                <c:formatCode>General</c:formatCode>
                <c:ptCount val="25"/>
                <c:pt idx="17" formatCode="0.0">
                  <c:v>59.682986800000002</c:v>
                </c:pt>
                <c:pt idx="18" formatCode="0.0">
                  <c:v>196.92788000000002</c:v>
                </c:pt>
                <c:pt idx="19" formatCode="0.0">
                  <c:v>199.30359694553749</c:v>
                </c:pt>
                <c:pt idx="20" formatCode="0.0">
                  <c:v>230.25534300000001</c:v>
                </c:pt>
                <c:pt idx="21" formatCode="0.0">
                  <c:v>241.00855899999999</c:v>
                </c:pt>
                <c:pt idx="22" formatCode="0.0">
                  <c:v>287.20034299999998</c:v>
                </c:pt>
                <c:pt idx="23" formatCode="0.0">
                  <c:v>745.40054000000009</c:v>
                </c:pt>
                <c:pt idx="24" formatCode="0.0">
                  <c:v>763.05863999999997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790-4B0F-9B29-71773E0FF3AD}"/>
            </c:ext>
          </c:extLst>
        </c:ser>
        <c:ser>
          <c:idx val="3"/>
          <c:order val="3"/>
          <c:tx>
            <c:strRef>
              <c:f>'10.4 Prod'!$V$50</c:f>
              <c:strCache>
                <c:ptCount val="1"/>
                <c:pt idx="0">
                  <c:v>Eólica</c:v>
                </c:pt>
              </c:strCache>
            </c:strRef>
          </c:tx>
          <c:cat>
            <c:numRef>
              <c:f>'10.4 Prod'!$R$51:$R$75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'10.4 Prod'!$V$51:$V$75</c:f>
              <c:numCache>
                <c:formatCode>General</c:formatCode>
                <c:ptCount val="25"/>
                <c:pt idx="19" formatCode="0.0">
                  <c:v>257.5406575769008</c:v>
                </c:pt>
                <c:pt idx="20" formatCode="0.0">
                  <c:v>595.60053148867007</c:v>
                </c:pt>
                <c:pt idx="21" formatCode="0.0">
                  <c:v>1063.8290854064544</c:v>
                </c:pt>
                <c:pt idx="22" formatCode="0.0">
                  <c:v>1073.432268</c:v>
                </c:pt>
                <c:pt idx="23" formatCode="0.0">
                  <c:v>1502.4381678166665</c:v>
                </c:pt>
                <c:pt idx="24" formatCode="0.0">
                  <c:v>1655.0389929999999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790-4B0F-9B29-71773E0FF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171840"/>
        <c:axId val="299174528"/>
      </c:areaChart>
      <c:catAx>
        <c:axId val="2991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9917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9174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2.2191249879691701E-2"/>
              <c:y val="0.464053623043954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99171840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56</xdr:row>
      <xdr:rowOff>133350</xdr:rowOff>
    </xdr:from>
    <xdr:to>
      <xdr:col>14</xdr:col>
      <xdr:colOff>542925</xdr:colOff>
      <xdr:row>74</xdr:row>
      <xdr:rowOff>0</xdr:rowOff>
    </xdr:to>
    <xdr:graphicFrame macro="">
      <xdr:nvGraphicFramePr>
        <xdr:cNvPr id="19992597" name="Chart 1">
          <a:extLst>
            <a:ext uri="{FF2B5EF4-FFF2-40B4-BE49-F238E27FC236}">
              <a16:creationId xmlns:a16="http://schemas.microsoft.com/office/drawing/2014/main" xmlns="" id="{00000000-0008-0000-0000-00001510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74</xdr:row>
      <xdr:rowOff>85725</xdr:rowOff>
    </xdr:from>
    <xdr:to>
      <xdr:col>14</xdr:col>
      <xdr:colOff>533400</xdr:colOff>
      <xdr:row>93</xdr:row>
      <xdr:rowOff>152400</xdr:rowOff>
    </xdr:to>
    <xdr:graphicFrame macro="">
      <xdr:nvGraphicFramePr>
        <xdr:cNvPr id="19992598" name="Chart 2">
          <a:extLst>
            <a:ext uri="{FF2B5EF4-FFF2-40B4-BE49-F238E27FC236}">
              <a16:creationId xmlns:a16="http://schemas.microsoft.com/office/drawing/2014/main" xmlns="" id="{00000000-0008-0000-0000-00001610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38</xdr:row>
      <xdr:rowOff>76200</xdr:rowOff>
    </xdr:from>
    <xdr:to>
      <xdr:col>14</xdr:col>
      <xdr:colOff>533400</xdr:colOff>
      <xdr:row>56</xdr:row>
      <xdr:rowOff>19050</xdr:rowOff>
    </xdr:to>
    <xdr:graphicFrame macro="">
      <xdr:nvGraphicFramePr>
        <xdr:cNvPr id="19992599" name="Chart 3">
          <a:extLst>
            <a:ext uri="{FF2B5EF4-FFF2-40B4-BE49-F238E27FC236}">
              <a16:creationId xmlns:a16="http://schemas.microsoft.com/office/drawing/2014/main" xmlns="" id="{00000000-0008-0000-0000-00001710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37</xdr:row>
      <xdr:rowOff>28575</xdr:rowOff>
    </xdr:from>
    <xdr:to>
      <xdr:col>11</xdr:col>
      <xdr:colOff>28575</xdr:colOff>
      <xdr:row>61</xdr:row>
      <xdr:rowOff>57150</xdr:rowOff>
    </xdr:to>
    <xdr:graphicFrame macro="">
      <xdr:nvGraphicFramePr>
        <xdr:cNvPr id="20196354" name="Chart 1">
          <a:extLst>
            <a:ext uri="{FF2B5EF4-FFF2-40B4-BE49-F238E27FC236}">
              <a16:creationId xmlns:a16="http://schemas.microsoft.com/office/drawing/2014/main" xmlns="" id="{00000000-0008-0000-0800-0000022C3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37</xdr:row>
      <xdr:rowOff>9525</xdr:rowOff>
    </xdr:from>
    <xdr:to>
      <xdr:col>7</xdr:col>
      <xdr:colOff>76200</xdr:colOff>
      <xdr:row>62</xdr:row>
      <xdr:rowOff>76200</xdr:rowOff>
    </xdr:to>
    <xdr:graphicFrame macro="">
      <xdr:nvGraphicFramePr>
        <xdr:cNvPr id="70222" name="Chart 3">
          <a:extLst>
            <a:ext uri="{FF2B5EF4-FFF2-40B4-BE49-F238E27FC236}">
              <a16:creationId xmlns:a16="http://schemas.microsoft.com/office/drawing/2014/main" xmlns="" id="{00000000-0008-0000-0900-00004E12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38</xdr:row>
      <xdr:rowOff>114300</xdr:rowOff>
    </xdr:from>
    <xdr:to>
      <xdr:col>7</xdr:col>
      <xdr:colOff>28575</xdr:colOff>
      <xdr:row>64</xdr:row>
      <xdr:rowOff>38100</xdr:rowOff>
    </xdr:to>
    <xdr:graphicFrame macro="">
      <xdr:nvGraphicFramePr>
        <xdr:cNvPr id="1722891" name="Chart 3">
          <a:extLst>
            <a:ext uri="{FF2B5EF4-FFF2-40B4-BE49-F238E27FC236}">
              <a16:creationId xmlns:a16="http://schemas.microsoft.com/office/drawing/2014/main" xmlns="" id="{00000000-0008-0000-0A00-00000B4A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38</xdr:row>
      <xdr:rowOff>38100</xdr:rowOff>
    </xdr:from>
    <xdr:to>
      <xdr:col>7</xdr:col>
      <xdr:colOff>85725</xdr:colOff>
      <xdr:row>58</xdr:row>
      <xdr:rowOff>57150</xdr:rowOff>
    </xdr:to>
    <xdr:graphicFrame macro="">
      <xdr:nvGraphicFramePr>
        <xdr:cNvPr id="18237550" name="Chart 1">
          <a:extLst>
            <a:ext uri="{FF2B5EF4-FFF2-40B4-BE49-F238E27FC236}">
              <a16:creationId xmlns:a16="http://schemas.microsoft.com/office/drawing/2014/main" xmlns="" id="{00000000-0008-0000-0B00-00006E48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60</xdr:row>
      <xdr:rowOff>28575</xdr:rowOff>
    </xdr:from>
    <xdr:to>
      <xdr:col>7</xdr:col>
      <xdr:colOff>123825</xdr:colOff>
      <xdr:row>84</xdr:row>
      <xdr:rowOff>142875</xdr:rowOff>
    </xdr:to>
    <xdr:graphicFrame macro="">
      <xdr:nvGraphicFramePr>
        <xdr:cNvPr id="18237551" name="Chart 20">
          <a:extLst>
            <a:ext uri="{FF2B5EF4-FFF2-40B4-BE49-F238E27FC236}">
              <a16:creationId xmlns:a16="http://schemas.microsoft.com/office/drawing/2014/main" xmlns="" id="{00000000-0008-0000-0B00-00006F48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38</xdr:row>
      <xdr:rowOff>104775</xdr:rowOff>
    </xdr:from>
    <xdr:to>
      <xdr:col>14</xdr:col>
      <xdr:colOff>609600</xdr:colOff>
      <xdr:row>62</xdr:row>
      <xdr:rowOff>85725</xdr:rowOff>
    </xdr:to>
    <xdr:graphicFrame macro="">
      <xdr:nvGraphicFramePr>
        <xdr:cNvPr id="18240622" name="Chart 2">
          <a:extLst>
            <a:ext uri="{FF2B5EF4-FFF2-40B4-BE49-F238E27FC236}">
              <a16:creationId xmlns:a16="http://schemas.microsoft.com/office/drawing/2014/main" xmlns="" id="{00000000-0008-0000-0C00-00006E54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63</xdr:row>
      <xdr:rowOff>142875</xdr:rowOff>
    </xdr:from>
    <xdr:to>
      <xdr:col>14</xdr:col>
      <xdr:colOff>619125</xdr:colOff>
      <xdr:row>86</xdr:row>
      <xdr:rowOff>133350</xdr:rowOff>
    </xdr:to>
    <xdr:graphicFrame macro="">
      <xdr:nvGraphicFramePr>
        <xdr:cNvPr id="18240623" name="Chart 3">
          <a:extLst>
            <a:ext uri="{FF2B5EF4-FFF2-40B4-BE49-F238E27FC236}">
              <a16:creationId xmlns:a16="http://schemas.microsoft.com/office/drawing/2014/main" xmlns="" id="{00000000-0008-0000-0C00-00006F54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85725</xdr:colOff>
      <xdr:row>35</xdr:row>
      <xdr:rowOff>238125</xdr:rowOff>
    </xdr:from>
    <xdr:to>
      <xdr:col>15</xdr:col>
      <xdr:colOff>209550</xdr:colOff>
      <xdr:row>60</xdr:row>
      <xdr:rowOff>19050</xdr:rowOff>
    </xdr:to>
    <xdr:graphicFrame macro="">
      <xdr:nvGraphicFramePr>
        <xdr:cNvPr id="18243749" name="Chart 1">
          <a:extLst>
            <a:ext uri="{FF2B5EF4-FFF2-40B4-BE49-F238E27FC236}">
              <a16:creationId xmlns:a16="http://schemas.microsoft.com/office/drawing/2014/main" xmlns="" id="{00000000-0008-0000-0D00-0000A560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104775</xdr:colOff>
      <xdr:row>66</xdr:row>
      <xdr:rowOff>13335</xdr:rowOff>
    </xdr:from>
    <xdr:to>
      <xdr:col>15</xdr:col>
      <xdr:colOff>476250</xdr:colOff>
      <xdr:row>90</xdr:row>
      <xdr:rowOff>57150</xdr:rowOff>
    </xdr:to>
    <xdr:graphicFrame macro="">
      <xdr:nvGraphicFramePr>
        <xdr:cNvPr id="18243750" name="Chart 2">
          <a:extLst>
            <a:ext uri="{FF2B5EF4-FFF2-40B4-BE49-F238E27FC236}">
              <a16:creationId xmlns:a16="http://schemas.microsoft.com/office/drawing/2014/main" xmlns="" id="{00000000-0008-0000-0D00-0000A660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161925</xdr:colOff>
      <xdr:row>3</xdr:row>
      <xdr:rowOff>0</xdr:rowOff>
    </xdr:from>
    <xdr:to>
      <xdr:col>15</xdr:col>
      <xdr:colOff>571500</xdr:colOff>
      <xdr:row>30</xdr:row>
      <xdr:rowOff>9525</xdr:rowOff>
    </xdr:to>
    <xdr:graphicFrame macro="">
      <xdr:nvGraphicFramePr>
        <xdr:cNvPr id="18243751" name="Chart 3">
          <a:extLst>
            <a:ext uri="{FF2B5EF4-FFF2-40B4-BE49-F238E27FC236}">
              <a16:creationId xmlns:a16="http://schemas.microsoft.com/office/drawing/2014/main" xmlns="" id="{00000000-0008-0000-0D00-0000A760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42</xdr:row>
      <xdr:rowOff>114300</xdr:rowOff>
    </xdr:from>
    <xdr:to>
      <xdr:col>15</xdr:col>
      <xdr:colOff>923925</xdr:colOff>
      <xdr:row>70</xdr:row>
      <xdr:rowOff>66675</xdr:rowOff>
    </xdr:to>
    <xdr:graphicFrame macro="">
      <xdr:nvGraphicFramePr>
        <xdr:cNvPr id="10637072" name="Chart 1">
          <a:extLst>
            <a:ext uri="{FF2B5EF4-FFF2-40B4-BE49-F238E27FC236}">
              <a16:creationId xmlns:a16="http://schemas.microsoft.com/office/drawing/2014/main" xmlns="" id="{00000000-0008-0000-0E00-0000104FA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261937</xdr:colOff>
      <xdr:row>74</xdr:row>
      <xdr:rowOff>69056</xdr:rowOff>
    </xdr:from>
    <xdr:to>
      <xdr:col>15</xdr:col>
      <xdr:colOff>928687</xdr:colOff>
      <xdr:row>110</xdr:row>
      <xdr:rowOff>59531</xdr:rowOff>
    </xdr:to>
    <xdr:graphicFrame macro="">
      <xdr:nvGraphicFramePr>
        <xdr:cNvPr id="10637073" name="Chart 2">
          <a:extLst>
            <a:ext uri="{FF2B5EF4-FFF2-40B4-BE49-F238E27FC236}">
              <a16:creationId xmlns:a16="http://schemas.microsoft.com/office/drawing/2014/main" xmlns="" id="{00000000-0008-0000-0E00-0000114FA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3402</xdr:colOff>
      <xdr:row>71</xdr:row>
      <xdr:rowOff>32658</xdr:rowOff>
    </xdr:from>
    <xdr:to>
      <xdr:col>11</xdr:col>
      <xdr:colOff>376238</xdr:colOff>
      <xdr:row>74</xdr:row>
      <xdr:rowOff>74158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 txBox="1"/>
      </xdr:nvSpPr>
      <xdr:spPr>
        <a:xfrm>
          <a:off x="301058" y="11903189"/>
          <a:ext cx="9552555" cy="541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/>
            <a:t>(*) Incluye inversión</a:t>
          </a:r>
          <a:r>
            <a:rPr lang="es-PE" sz="1100" baseline="0"/>
            <a:t> realizada por la DGER</a:t>
          </a:r>
          <a:endParaRPr lang="es-PE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20</xdr:row>
      <xdr:rowOff>38100</xdr:rowOff>
    </xdr:from>
    <xdr:to>
      <xdr:col>31</xdr:col>
      <xdr:colOff>762000</xdr:colOff>
      <xdr:row>45</xdr:row>
      <xdr:rowOff>19050</xdr:rowOff>
    </xdr:to>
    <xdr:graphicFrame macro="">
      <xdr:nvGraphicFramePr>
        <xdr:cNvPr id="18250115" name="Chart 1">
          <a:extLst>
            <a:ext uri="{FF2B5EF4-FFF2-40B4-BE49-F238E27FC236}">
              <a16:creationId xmlns:a16="http://schemas.microsoft.com/office/drawing/2014/main" xmlns="" id="{00000000-0008-0000-1100-00008379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37</xdr:col>
      <xdr:colOff>295275</xdr:colOff>
      <xdr:row>54</xdr:row>
      <xdr:rowOff>0</xdr:rowOff>
    </xdr:from>
    <xdr:to>
      <xdr:col>37</xdr:col>
      <xdr:colOff>371475</xdr:colOff>
      <xdr:row>55</xdr:row>
      <xdr:rowOff>28575</xdr:rowOff>
    </xdr:to>
    <xdr:sp macro="" textlink="">
      <xdr:nvSpPr>
        <xdr:cNvPr id="18250116" name="Text Box 4">
          <a:extLst>
            <a:ext uri="{FF2B5EF4-FFF2-40B4-BE49-F238E27FC236}">
              <a16:creationId xmlns:a16="http://schemas.microsoft.com/office/drawing/2014/main" xmlns="" id="{00000000-0008-0000-1100-000084791601}"/>
            </a:ext>
          </a:extLst>
        </xdr:cNvPr>
        <xdr:cNvSpPr txBox="1">
          <a:spLocks noChangeArrowheads="1"/>
        </xdr:cNvSpPr>
      </xdr:nvSpPr>
      <xdr:spPr bwMode="auto">
        <a:xfrm>
          <a:off x="22402800" y="9029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123825</xdr:colOff>
      <xdr:row>49</xdr:row>
      <xdr:rowOff>47625</xdr:rowOff>
    </xdr:from>
    <xdr:to>
      <xdr:col>31</xdr:col>
      <xdr:colOff>790575</xdr:colOff>
      <xdr:row>73</xdr:row>
      <xdr:rowOff>133350</xdr:rowOff>
    </xdr:to>
    <xdr:graphicFrame macro="">
      <xdr:nvGraphicFramePr>
        <xdr:cNvPr id="18250117" name="Chart 5">
          <a:extLst>
            <a:ext uri="{FF2B5EF4-FFF2-40B4-BE49-F238E27FC236}">
              <a16:creationId xmlns:a16="http://schemas.microsoft.com/office/drawing/2014/main" xmlns="" id="{00000000-0008-0000-1100-00008579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123825</xdr:colOff>
      <xdr:row>82</xdr:row>
      <xdr:rowOff>9525</xdr:rowOff>
    </xdr:from>
    <xdr:to>
      <xdr:col>31</xdr:col>
      <xdr:colOff>819150</xdr:colOff>
      <xdr:row>111</xdr:row>
      <xdr:rowOff>152400</xdr:rowOff>
    </xdr:to>
    <xdr:graphicFrame macro="">
      <xdr:nvGraphicFramePr>
        <xdr:cNvPr id="18250118" name="Chart 1">
          <a:extLst>
            <a:ext uri="{FF2B5EF4-FFF2-40B4-BE49-F238E27FC236}">
              <a16:creationId xmlns:a16="http://schemas.microsoft.com/office/drawing/2014/main" xmlns="" id="{00000000-0008-0000-1100-00008679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47625</xdr:colOff>
      <xdr:row>195</xdr:row>
      <xdr:rowOff>19050</xdr:rowOff>
    </xdr:from>
    <xdr:to>
      <xdr:col>21</xdr:col>
      <xdr:colOff>161925</xdr:colOff>
      <xdr:row>224</xdr:row>
      <xdr:rowOff>142875</xdr:rowOff>
    </xdr:to>
    <xdr:graphicFrame macro="">
      <xdr:nvGraphicFramePr>
        <xdr:cNvPr id="18250119" name="5 Gráfico">
          <a:extLst>
            <a:ext uri="{FF2B5EF4-FFF2-40B4-BE49-F238E27FC236}">
              <a16:creationId xmlns:a16="http://schemas.microsoft.com/office/drawing/2014/main" xmlns="" id="{00000000-0008-0000-1100-00008779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155</xdr:row>
      <xdr:rowOff>9525</xdr:rowOff>
    </xdr:from>
    <xdr:to>
      <xdr:col>31</xdr:col>
      <xdr:colOff>876300</xdr:colOff>
      <xdr:row>188</xdr:row>
      <xdr:rowOff>104775</xdr:rowOff>
    </xdr:to>
    <xdr:graphicFrame macro="">
      <xdr:nvGraphicFramePr>
        <xdr:cNvPr id="18250120" name="Chart 1">
          <a:extLst>
            <a:ext uri="{FF2B5EF4-FFF2-40B4-BE49-F238E27FC236}">
              <a16:creationId xmlns:a16="http://schemas.microsoft.com/office/drawing/2014/main" xmlns="" id="{00000000-0008-0000-1100-00008879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142875</xdr:colOff>
      <xdr:row>117</xdr:row>
      <xdr:rowOff>9525</xdr:rowOff>
    </xdr:from>
    <xdr:to>
      <xdr:col>31</xdr:col>
      <xdr:colOff>828675</xdr:colOff>
      <xdr:row>146</xdr:row>
      <xdr:rowOff>66675</xdr:rowOff>
    </xdr:to>
    <xdr:graphicFrame macro="">
      <xdr:nvGraphicFramePr>
        <xdr:cNvPr id="18250121" name="Chart 1">
          <a:extLst>
            <a:ext uri="{FF2B5EF4-FFF2-40B4-BE49-F238E27FC236}">
              <a16:creationId xmlns:a16="http://schemas.microsoft.com/office/drawing/2014/main" xmlns="" id="{00000000-0008-0000-1100-00008979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0.13766</cdr:x>
      <cdr:y>0.80588</cdr:y>
    </cdr:from>
    <cdr:to>
      <cdr:x>0.87298</cdr:x>
      <cdr:y>0.9381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999128" y="3884080"/>
          <a:ext cx="5336990" cy="6372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ES" sz="1100" b="1">
              <a:solidFill>
                <a:sysClr val="windowText" lastClr="000000"/>
              </a:solidFill>
            </a:rPr>
            <a:t>(*) Ejecutada</a:t>
          </a:r>
          <a:r>
            <a:rPr lang="es-ES" sz="1100" b="1" baseline="0">
              <a:solidFill>
                <a:sysClr val="windowText" lastClr="000000"/>
              </a:solidFill>
            </a:rPr>
            <a:t> por la dirección General de Electrificaciòn Rural (DGER) del Ministerio de Energia y Minas (MINEM)</a:t>
          </a:r>
          <a:endParaRPr lang="es-ES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63619</xdr:colOff>
      <xdr:row>2</xdr:row>
      <xdr:rowOff>70802</xdr:rowOff>
    </xdr:from>
    <xdr:to>
      <xdr:col>13</xdr:col>
      <xdr:colOff>711319</xdr:colOff>
      <xdr:row>37</xdr:row>
      <xdr:rowOff>84808</xdr:rowOff>
    </xdr:to>
    <xdr:graphicFrame macro="">
      <xdr:nvGraphicFramePr>
        <xdr:cNvPr id="10607878" name="Gráfico 136">
          <a:extLst>
            <a:ext uri="{FF2B5EF4-FFF2-40B4-BE49-F238E27FC236}">
              <a16:creationId xmlns:a16="http://schemas.microsoft.com/office/drawing/2014/main" xmlns="" id="{00000000-0008-0000-1200-000006DD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57</xdr:row>
      <xdr:rowOff>0</xdr:rowOff>
    </xdr:from>
    <xdr:to>
      <xdr:col>14</xdr:col>
      <xdr:colOff>542925</xdr:colOff>
      <xdr:row>74</xdr:row>
      <xdr:rowOff>9525</xdr:rowOff>
    </xdr:to>
    <xdr:graphicFrame macro="">
      <xdr:nvGraphicFramePr>
        <xdr:cNvPr id="20144137" name="Chart 1">
          <a:extLst>
            <a:ext uri="{FF2B5EF4-FFF2-40B4-BE49-F238E27FC236}">
              <a16:creationId xmlns:a16="http://schemas.microsoft.com/office/drawing/2014/main" xmlns="" id="{00000000-0008-0000-0100-000009603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74</xdr:row>
      <xdr:rowOff>142875</xdr:rowOff>
    </xdr:from>
    <xdr:to>
      <xdr:col>14</xdr:col>
      <xdr:colOff>552450</xdr:colOff>
      <xdr:row>93</xdr:row>
      <xdr:rowOff>133350</xdr:rowOff>
    </xdr:to>
    <xdr:graphicFrame macro="">
      <xdr:nvGraphicFramePr>
        <xdr:cNvPr id="20144138" name="Chart 2">
          <a:extLst>
            <a:ext uri="{FF2B5EF4-FFF2-40B4-BE49-F238E27FC236}">
              <a16:creationId xmlns:a16="http://schemas.microsoft.com/office/drawing/2014/main" xmlns="" id="{00000000-0008-0000-0100-00000A603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38</xdr:row>
      <xdr:rowOff>142875</xdr:rowOff>
    </xdr:from>
    <xdr:to>
      <xdr:col>14</xdr:col>
      <xdr:colOff>542925</xdr:colOff>
      <xdr:row>56</xdr:row>
      <xdr:rowOff>38100</xdr:rowOff>
    </xdr:to>
    <xdr:graphicFrame macro="">
      <xdr:nvGraphicFramePr>
        <xdr:cNvPr id="20144139" name="Chart 3">
          <a:extLst>
            <a:ext uri="{FF2B5EF4-FFF2-40B4-BE49-F238E27FC236}">
              <a16:creationId xmlns:a16="http://schemas.microsoft.com/office/drawing/2014/main" xmlns="" id="{00000000-0008-0000-0100-00000B603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40</xdr:row>
      <xdr:rowOff>38100</xdr:rowOff>
    </xdr:from>
    <xdr:to>
      <xdr:col>14</xdr:col>
      <xdr:colOff>438150</xdr:colOff>
      <xdr:row>61</xdr:row>
      <xdr:rowOff>104775</xdr:rowOff>
    </xdr:to>
    <xdr:graphicFrame macro="">
      <xdr:nvGraphicFramePr>
        <xdr:cNvPr id="14928" name="Chart 1">
          <a:extLst>
            <a:ext uri="{FF2B5EF4-FFF2-40B4-BE49-F238E27FC236}">
              <a16:creationId xmlns:a16="http://schemas.microsoft.com/office/drawing/2014/main" xmlns="" id="{00000000-0008-0000-0200-0000503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0.49704</cdr:x>
      <cdr:y>0.5</cdr:y>
    </cdr:from>
    <cdr:to>
      <cdr:x>0.5086</cdr:x>
      <cdr:y>0.55129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5094" y="1722045"/>
          <a:ext cx="76557" cy="180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0.87294</cdr:x>
      <cdr:y>0.26825</cdr:y>
    </cdr:from>
    <cdr:to>
      <cdr:x>0.87294</cdr:x>
      <cdr:y>0.26825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8272" y="90459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333333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CRECIMIENTO MEDIO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38</xdr:row>
      <xdr:rowOff>9525</xdr:rowOff>
    </xdr:from>
    <xdr:to>
      <xdr:col>14</xdr:col>
      <xdr:colOff>533400</xdr:colOff>
      <xdr:row>57</xdr:row>
      <xdr:rowOff>95250</xdr:rowOff>
    </xdr:to>
    <xdr:graphicFrame macro="">
      <xdr:nvGraphicFramePr>
        <xdr:cNvPr id="18222245" name="Chart 1">
          <a:extLst>
            <a:ext uri="{FF2B5EF4-FFF2-40B4-BE49-F238E27FC236}">
              <a16:creationId xmlns:a16="http://schemas.microsoft.com/office/drawing/2014/main" xmlns="" id="{00000000-0008-0000-0300-0000A50C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58</xdr:row>
      <xdr:rowOff>142875</xdr:rowOff>
    </xdr:from>
    <xdr:to>
      <xdr:col>14</xdr:col>
      <xdr:colOff>523875</xdr:colOff>
      <xdr:row>77</xdr:row>
      <xdr:rowOff>76200</xdr:rowOff>
    </xdr:to>
    <xdr:graphicFrame macro="">
      <xdr:nvGraphicFramePr>
        <xdr:cNvPr id="18222246" name="Chart 2">
          <a:extLst>
            <a:ext uri="{FF2B5EF4-FFF2-40B4-BE49-F238E27FC236}">
              <a16:creationId xmlns:a16="http://schemas.microsoft.com/office/drawing/2014/main" xmlns="" id="{00000000-0008-0000-0300-0000A60C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78</xdr:row>
      <xdr:rowOff>28575</xdr:rowOff>
    </xdr:from>
    <xdr:to>
      <xdr:col>14</xdr:col>
      <xdr:colOff>523875</xdr:colOff>
      <xdr:row>96</xdr:row>
      <xdr:rowOff>133350</xdr:rowOff>
    </xdr:to>
    <xdr:graphicFrame macro="">
      <xdr:nvGraphicFramePr>
        <xdr:cNvPr id="18222247" name="Chart 3">
          <a:extLst>
            <a:ext uri="{FF2B5EF4-FFF2-40B4-BE49-F238E27FC236}">
              <a16:creationId xmlns:a16="http://schemas.microsoft.com/office/drawing/2014/main" xmlns="" id="{00000000-0008-0000-0300-0000A70C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41</xdr:row>
      <xdr:rowOff>142875</xdr:rowOff>
    </xdr:from>
    <xdr:to>
      <xdr:col>7</xdr:col>
      <xdr:colOff>910168</xdr:colOff>
      <xdr:row>62</xdr:row>
      <xdr:rowOff>38100</xdr:rowOff>
    </xdr:to>
    <xdr:graphicFrame macro="">
      <xdr:nvGraphicFramePr>
        <xdr:cNvPr id="7583064" name="Chart 3">
          <a:extLst>
            <a:ext uri="{FF2B5EF4-FFF2-40B4-BE49-F238E27FC236}">
              <a16:creationId xmlns:a16="http://schemas.microsoft.com/office/drawing/2014/main" xmlns="" id="{00000000-0008-0000-0400-000058B57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9525</xdr:rowOff>
    </xdr:from>
    <xdr:to>
      <xdr:col>10</xdr:col>
      <xdr:colOff>771525</xdr:colOff>
      <xdr:row>60</xdr:row>
      <xdr:rowOff>9525</xdr:rowOff>
    </xdr:to>
    <xdr:graphicFrame macro="">
      <xdr:nvGraphicFramePr>
        <xdr:cNvPr id="19523623" name="Chart 1">
          <a:extLst>
            <a:ext uri="{FF2B5EF4-FFF2-40B4-BE49-F238E27FC236}">
              <a16:creationId xmlns:a16="http://schemas.microsoft.com/office/drawing/2014/main" xmlns="" id="{00000000-0008-0000-0500-000027E8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61</xdr:row>
      <xdr:rowOff>95250</xdr:rowOff>
    </xdr:from>
    <xdr:to>
      <xdr:col>10</xdr:col>
      <xdr:colOff>752475</xdr:colOff>
      <xdr:row>84</xdr:row>
      <xdr:rowOff>95250</xdr:rowOff>
    </xdr:to>
    <xdr:graphicFrame macro="">
      <xdr:nvGraphicFramePr>
        <xdr:cNvPr id="19523624" name="Chart 2">
          <a:extLst>
            <a:ext uri="{FF2B5EF4-FFF2-40B4-BE49-F238E27FC236}">
              <a16:creationId xmlns:a16="http://schemas.microsoft.com/office/drawing/2014/main" xmlns="" id="{00000000-0008-0000-0500-000028E8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9525</xdr:rowOff>
    </xdr:from>
    <xdr:to>
      <xdr:col>10</xdr:col>
      <xdr:colOff>762000</xdr:colOff>
      <xdr:row>60</xdr:row>
      <xdr:rowOff>57150</xdr:rowOff>
    </xdr:to>
    <xdr:graphicFrame macro="">
      <xdr:nvGraphicFramePr>
        <xdr:cNvPr id="18229358" name="Chart 1">
          <a:extLst>
            <a:ext uri="{FF2B5EF4-FFF2-40B4-BE49-F238E27FC236}">
              <a16:creationId xmlns:a16="http://schemas.microsoft.com/office/drawing/2014/main" xmlns="" id="{00000000-0008-0000-0600-00006E28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62</xdr:row>
      <xdr:rowOff>57150</xdr:rowOff>
    </xdr:from>
    <xdr:to>
      <xdr:col>10</xdr:col>
      <xdr:colOff>781050</xdr:colOff>
      <xdr:row>84</xdr:row>
      <xdr:rowOff>76200</xdr:rowOff>
    </xdr:to>
    <xdr:graphicFrame macro="">
      <xdr:nvGraphicFramePr>
        <xdr:cNvPr id="18229359" name="Chart 2">
          <a:extLst>
            <a:ext uri="{FF2B5EF4-FFF2-40B4-BE49-F238E27FC236}">
              <a16:creationId xmlns:a16="http://schemas.microsoft.com/office/drawing/2014/main" xmlns="" id="{00000000-0008-0000-0600-00006F28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39</xdr:row>
      <xdr:rowOff>19050</xdr:rowOff>
    </xdr:from>
    <xdr:to>
      <xdr:col>10</xdr:col>
      <xdr:colOff>723900</xdr:colOff>
      <xdr:row>60</xdr:row>
      <xdr:rowOff>47625</xdr:rowOff>
    </xdr:to>
    <xdr:graphicFrame macro="">
      <xdr:nvGraphicFramePr>
        <xdr:cNvPr id="19713053" name="Chart 1">
          <a:extLst>
            <a:ext uri="{FF2B5EF4-FFF2-40B4-BE49-F238E27FC236}">
              <a16:creationId xmlns:a16="http://schemas.microsoft.com/office/drawing/2014/main" xmlns="" id="{00000000-0008-0000-0700-00001DCC2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95250</xdr:colOff>
      <xdr:row>61</xdr:row>
      <xdr:rowOff>123825</xdr:rowOff>
    </xdr:from>
    <xdr:to>
      <xdr:col>10</xdr:col>
      <xdr:colOff>704850</xdr:colOff>
      <xdr:row>81</xdr:row>
      <xdr:rowOff>104775</xdr:rowOff>
    </xdr:to>
    <xdr:graphicFrame macro="">
      <xdr:nvGraphicFramePr>
        <xdr:cNvPr id="19713054" name="Chart 2">
          <a:extLst>
            <a:ext uri="{FF2B5EF4-FFF2-40B4-BE49-F238E27FC236}">
              <a16:creationId xmlns:a16="http://schemas.microsoft.com/office/drawing/2014/main" xmlns="" id="{00000000-0008-0000-0700-00001ECC2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IVETI\STD98\ANUARI~1\LASERJC5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4"/>
  <sheetViews>
    <sheetView tabSelected="1" view="pageBreakPreview" zoomScale="85" zoomScaleNormal="85" zoomScaleSheetLayoutView="85" workbookViewId="0">
      <selection activeCell="C33" sqref="C33"/>
    </sheetView>
  </sheetViews>
  <sheetFormatPr baseColWidth="10" defaultRowHeight="12.75" x14ac:dyDescent="0.2"/>
  <cols>
    <col min="1" max="1" width="2.7109375" customWidth="1"/>
    <col min="2" max="2" width="21.42578125" customWidth="1"/>
    <col min="4" max="4" width="9.140625" bestFit="1" customWidth="1"/>
    <col min="5" max="6" width="8.5703125" customWidth="1"/>
    <col min="7" max="7" width="8.7109375" bestFit="1" customWidth="1"/>
    <col min="8" max="8" width="11.140625" customWidth="1"/>
    <col min="9" max="9" width="11.7109375" customWidth="1"/>
    <col min="10" max="11" width="9.28515625" customWidth="1"/>
    <col min="12" max="12" width="8.7109375" bestFit="1" customWidth="1"/>
    <col min="13" max="13" width="9.28515625" customWidth="1"/>
    <col min="14" max="14" width="9.85546875" customWidth="1"/>
    <col min="15" max="15" width="8.7109375" customWidth="1"/>
    <col min="16" max="16" width="15.5703125" style="571" customWidth="1"/>
    <col min="17" max="17" width="9.42578125" style="571" customWidth="1"/>
    <col min="18" max="18" width="10.7109375" style="571" hidden="1" customWidth="1"/>
    <col min="19" max="19" width="8.7109375" style="571" hidden="1" customWidth="1"/>
    <col min="20" max="20" width="11.42578125" style="571" hidden="1" customWidth="1"/>
    <col min="21" max="31" width="11.42578125" style="571"/>
  </cols>
  <sheetData>
    <row r="1" spans="1:26" ht="15.75" x14ac:dyDescent="0.25">
      <c r="A1" s="59" t="s">
        <v>245</v>
      </c>
    </row>
    <row r="3" spans="1:26" ht="13.5" thickBot="1" x14ac:dyDescent="0.25"/>
    <row r="4" spans="1:26" ht="15.75" customHeight="1" x14ac:dyDescent="0.2">
      <c r="B4" s="1262" t="s">
        <v>18</v>
      </c>
      <c r="C4" s="1264" t="s">
        <v>0</v>
      </c>
      <c r="D4" s="1258" t="s">
        <v>13</v>
      </c>
      <c r="E4" s="1259"/>
      <c r="F4" s="1259"/>
      <c r="G4" s="1261"/>
      <c r="H4" s="1258" t="s">
        <v>14</v>
      </c>
      <c r="I4" s="1259"/>
      <c r="J4" s="1259"/>
      <c r="K4" s="1259"/>
      <c r="L4" s="1261"/>
      <c r="M4" s="1258" t="s">
        <v>15</v>
      </c>
      <c r="N4" s="1259"/>
      <c r="O4" s="1260"/>
      <c r="P4" s="562"/>
      <c r="Q4" s="562"/>
      <c r="R4" s="562"/>
      <c r="S4" s="562"/>
      <c r="U4" s="561"/>
      <c r="V4" s="561" t="s">
        <v>0</v>
      </c>
      <c r="W4" s="561" t="s">
        <v>1</v>
      </c>
      <c r="X4" s="561" t="s">
        <v>2</v>
      </c>
      <c r="Y4" s="561" t="s">
        <v>58</v>
      </c>
      <c r="Z4" s="561" t="s">
        <v>6</v>
      </c>
    </row>
    <row r="5" spans="1:26" ht="13.5" thickBot="1" x14ac:dyDescent="0.25">
      <c r="B5" s="1263"/>
      <c r="C5" s="1265"/>
      <c r="D5" s="1130" t="s">
        <v>4</v>
      </c>
      <c r="E5" s="1131" t="s">
        <v>5</v>
      </c>
      <c r="F5" s="1131" t="s">
        <v>58</v>
      </c>
      <c r="G5" s="1131" t="s">
        <v>6</v>
      </c>
      <c r="H5" s="1132" t="s">
        <v>0</v>
      </c>
      <c r="I5" s="1131" t="s">
        <v>4</v>
      </c>
      <c r="J5" s="1131" t="s">
        <v>5</v>
      </c>
      <c r="K5" s="1131" t="s">
        <v>58</v>
      </c>
      <c r="L5" s="1131" t="s">
        <v>6</v>
      </c>
      <c r="M5" s="1132" t="s">
        <v>0</v>
      </c>
      <c r="N5" s="1133" t="s">
        <v>4</v>
      </c>
      <c r="O5" s="1134" t="s">
        <v>5</v>
      </c>
      <c r="P5" s="563"/>
      <c r="Q5" s="563"/>
      <c r="R5" s="563"/>
      <c r="S5" s="563"/>
      <c r="U5" s="580">
        <f>+B7</f>
        <v>1995</v>
      </c>
      <c r="V5" s="559">
        <f t="shared" ref="V5:X21" si="0">C7</f>
        <v>4461.7</v>
      </c>
      <c r="W5" s="560">
        <f t="shared" si="0"/>
        <v>2479.4</v>
      </c>
      <c r="X5" s="560">
        <f t="shared" si="0"/>
        <v>1982.3</v>
      </c>
      <c r="Y5" s="561"/>
      <c r="Z5" s="560"/>
    </row>
    <row r="6" spans="1:26" x14ac:dyDescent="0.2">
      <c r="B6" s="258"/>
      <c r="C6" s="259"/>
      <c r="D6" s="260"/>
      <c r="E6" s="261"/>
      <c r="F6" s="261"/>
      <c r="G6" s="262"/>
      <c r="H6" s="263"/>
      <c r="I6" s="261"/>
      <c r="J6" s="261"/>
      <c r="K6" s="261"/>
      <c r="L6" s="262"/>
      <c r="M6" s="260"/>
      <c r="N6" s="264"/>
      <c r="O6" s="573"/>
      <c r="P6" s="564"/>
      <c r="Q6" s="564"/>
      <c r="R6" s="564"/>
      <c r="S6" s="564"/>
      <c r="U6" s="580">
        <f t="shared" ref="U6:U26" si="1">+B8</f>
        <v>1996</v>
      </c>
      <c r="V6" s="560">
        <f t="shared" si="0"/>
        <v>4662.6049999999996</v>
      </c>
      <c r="W6" s="560">
        <f t="shared" si="0"/>
        <v>2492.7239999999997</v>
      </c>
      <c r="X6" s="560">
        <f t="shared" si="0"/>
        <v>2169.6310000000003</v>
      </c>
      <c r="Y6" s="561"/>
      <c r="Z6" s="560"/>
    </row>
    <row r="7" spans="1:26" x14ac:dyDescent="0.2">
      <c r="B7" s="265">
        <v>1995</v>
      </c>
      <c r="C7" s="418">
        <f t="shared" ref="C7:C25" si="2">SUM(D7:G7)</f>
        <v>4461.7</v>
      </c>
      <c r="D7" s="419">
        <f>SUM(I7,N7)</f>
        <v>2479.4</v>
      </c>
      <c r="E7" s="420">
        <f t="shared" ref="E7:E25" si="3">SUM(J7,O7)</f>
        <v>1982.3</v>
      </c>
      <c r="F7" s="420"/>
      <c r="G7" s="421"/>
      <c r="H7" s="419">
        <f t="shared" ref="H7:H25" si="4">SUM(I7:L7)</f>
        <v>3185.7</v>
      </c>
      <c r="I7" s="419">
        <v>2190</v>
      </c>
      <c r="J7" s="419">
        <v>995.7</v>
      </c>
      <c r="K7" s="419"/>
      <c r="L7" s="421"/>
      <c r="M7" s="419">
        <f t="shared" ref="M7:M16" si="5">SUM(N7:O7)</f>
        <v>1276</v>
      </c>
      <c r="N7" s="420">
        <v>289.39999999999998</v>
      </c>
      <c r="O7" s="574">
        <v>986.59999999999991</v>
      </c>
      <c r="P7" s="565"/>
      <c r="Q7" s="565"/>
      <c r="R7" s="565"/>
      <c r="S7" s="565"/>
      <c r="U7" s="580">
        <f t="shared" si="1"/>
        <v>1997</v>
      </c>
      <c r="V7" s="560">
        <f t="shared" si="0"/>
        <v>5192.4979999999996</v>
      </c>
      <c r="W7" s="560">
        <f t="shared" si="0"/>
        <v>2512.9939999999997</v>
      </c>
      <c r="X7" s="560">
        <f t="shared" si="0"/>
        <v>2679.2539999999999</v>
      </c>
      <c r="Y7" s="561"/>
      <c r="Z7" s="560"/>
    </row>
    <row r="8" spans="1:26" x14ac:dyDescent="0.2">
      <c r="B8" s="266">
        <v>1996</v>
      </c>
      <c r="C8" s="422">
        <f t="shared" si="2"/>
        <v>4662.6049999999996</v>
      </c>
      <c r="D8" s="423">
        <f t="shared" ref="D8:D25" si="6">SUM(I8,N8)</f>
        <v>2492.7239999999997</v>
      </c>
      <c r="E8" s="424">
        <f t="shared" si="3"/>
        <v>2169.6310000000003</v>
      </c>
      <c r="F8" s="424"/>
      <c r="G8" s="425">
        <v>0.25</v>
      </c>
      <c r="H8" s="423">
        <f t="shared" si="4"/>
        <v>3352.8809999999999</v>
      </c>
      <c r="I8" s="423">
        <v>2200.1839999999997</v>
      </c>
      <c r="J8" s="423">
        <v>1152.4470000000001</v>
      </c>
      <c r="K8" s="423"/>
      <c r="L8" s="424">
        <v>0.25</v>
      </c>
      <c r="M8" s="423">
        <f t="shared" si="5"/>
        <v>1309.7239999999999</v>
      </c>
      <c r="N8" s="426">
        <v>292.54000000000002</v>
      </c>
      <c r="O8" s="575">
        <v>1017.184</v>
      </c>
      <c r="P8" s="564"/>
      <c r="Q8" s="564"/>
      <c r="R8" s="564"/>
      <c r="S8" s="564"/>
      <c r="U8" s="580">
        <f t="shared" si="1"/>
        <v>1998</v>
      </c>
      <c r="V8" s="560">
        <f t="shared" si="0"/>
        <v>5515.29</v>
      </c>
      <c r="W8" s="560">
        <f t="shared" si="0"/>
        <v>2572.0610000000001</v>
      </c>
      <c r="X8" s="560">
        <f t="shared" si="0"/>
        <v>2942.9789999999998</v>
      </c>
      <c r="Y8" s="561"/>
      <c r="Z8" s="560"/>
    </row>
    <row r="9" spans="1:26" x14ac:dyDescent="0.2">
      <c r="B9" s="265">
        <v>1997</v>
      </c>
      <c r="C9" s="418">
        <f t="shared" si="2"/>
        <v>5192.4979999999996</v>
      </c>
      <c r="D9" s="419">
        <f t="shared" si="6"/>
        <v>2512.9939999999997</v>
      </c>
      <c r="E9" s="427">
        <f t="shared" si="3"/>
        <v>2679.2539999999999</v>
      </c>
      <c r="F9" s="427"/>
      <c r="G9" s="428">
        <v>0.25</v>
      </c>
      <c r="H9" s="419">
        <f t="shared" si="4"/>
        <v>4325.0209999999997</v>
      </c>
      <c r="I9" s="419">
        <v>2411.5189999999998</v>
      </c>
      <c r="J9" s="419">
        <v>1913.252</v>
      </c>
      <c r="K9" s="419"/>
      <c r="L9" s="427">
        <v>0.25</v>
      </c>
      <c r="M9" s="419">
        <f t="shared" si="5"/>
        <v>867.47699999999998</v>
      </c>
      <c r="N9" s="420">
        <v>101.47499999999999</v>
      </c>
      <c r="O9" s="574">
        <v>766.00199999999995</v>
      </c>
      <c r="P9" s="565"/>
      <c r="Q9" s="565"/>
      <c r="R9" s="565"/>
      <c r="S9" s="565"/>
      <c r="U9" s="580">
        <f t="shared" si="1"/>
        <v>1999</v>
      </c>
      <c r="V9" s="560">
        <f t="shared" si="0"/>
        <v>5742.4279999999999</v>
      </c>
      <c r="W9" s="560">
        <f t="shared" si="0"/>
        <v>2673.2799999999997</v>
      </c>
      <c r="X9" s="560">
        <f t="shared" si="0"/>
        <v>3068.4480000000003</v>
      </c>
      <c r="Y9" s="561"/>
      <c r="Z9" s="560"/>
    </row>
    <row r="10" spans="1:26" x14ac:dyDescent="0.2">
      <c r="B10" s="266">
        <v>1998</v>
      </c>
      <c r="C10" s="422">
        <f t="shared" si="2"/>
        <v>5515.29</v>
      </c>
      <c r="D10" s="423">
        <f t="shared" si="6"/>
        <v>2572.0610000000001</v>
      </c>
      <c r="E10" s="424">
        <f t="shared" si="3"/>
        <v>2942.9789999999998</v>
      </c>
      <c r="F10" s="424"/>
      <c r="G10" s="425">
        <v>0.25</v>
      </c>
      <c r="H10" s="423">
        <f t="shared" si="4"/>
        <v>4632.2780000000002</v>
      </c>
      <c r="I10" s="423">
        <v>2467.4160000000002</v>
      </c>
      <c r="J10" s="423">
        <v>2164.6119999999996</v>
      </c>
      <c r="K10" s="423"/>
      <c r="L10" s="424">
        <v>0.25</v>
      </c>
      <c r="M10" s="423">
        <f t="shared" si="5"/>
        <v>883.01200000000006</v>
      </c>
      <c r="N10" s="426">
        <v>104.645</v>
      </c>
      <c r="O10" s="575">
        <v>778.36700000000008</v>
      </c>
      <c r="P10" s="564"/>
      <c r="Q10" s="564"/>
      <c r="R10" s="564"/>
      <c r="S10" s="564"/>
      <c r="U10" s="580">
        <f t="shared" si="1"/>
        <v>2000</v>
      </c>
      <c r="V10" s="560">
        <f t="shared" si="0"/>
        <v>6066.1890000000003</v>
      </c>
      <c r="W10" s="560">
        <f t="shared" si="0"/>
        <v>2856.8250000000003</v>
      </c>
      <c r="X10" s="560">
        <f t="shared" si="0"/>
        <v>3208.6640000000002</v>
      </c>
      <c r="Y10" s="561"/>
      <c r="Z10" s="560"/>
    </row>
    <row r="11" spans="1:26" x14ac:dyDescent="0.2">
      <c r="B11" s="265">
        <v>1999</v>
      </c>
      <c r="C11" s="418">
        <f t="shared" si="2"/>
        <v>5742.4279999999999</v>
      </c>
      <c r="D11" s="419">
        <f t="shared" si="6"/>
        <v>2673.2799999999997</v>
      </c>
      <c r="E11" s="427">
        <f t="shared" si="3"/>
        <v>3068.4480000000003</v>
      </c>
      <c r="F11" s="427"/>
      <c r="G11" s="428">
        <v>0.7</v>
      </c>
      <c r="H11" s="419">
        <f t="shared" si="4"/>
        <v>4828.2429999999995</v>
      </c>
      <c r="I11" s="419">
        <v>2587.1289999999999</v>
      </c>
      <c r="J11" s="419">
        <v>2240.4140000000002</v>
      </c>
      <c r="K11" s="419"/>
      <c r="L11" s="427">
        <v>0.7</v>
      </c>
      <c r="M11" s="419">
        <f t="shared" si="5"/>
        <v>914.18499999999995</v>
      </c>
      <c r="N11" s="420">
        <v>86.150999999999982</v>
      </c>
      <c r="O11" s="574">
        <v>828.03399999999999</v>
      </c>
      <c r="P11" s="565"/>
      <c r="Q11" s="565"/>
      <c r="R11" s="565"/>
      <c r="S11" s="565"/>
      <c r="U11" s="580">
        <f t="shared" si="1"/>
        <v>2001</v>
      </c>
      <c r="V11" s="560">
        <f t="shared" si="0"/>
        <v>5906.6930000000002</v>
      </c>
      <c r="W11" s="560">
        <f t="shared" si="0"/>
        <v>2966.328</v>
      </c>
      <c r="X11" s="560">
        <f t="shared" si="0"/>
        <v>2939.665</v>
      </c>
      <c r="Y11" s="561"/>
      <c r="Z11" s="560"/>
    </row>
    <row r="12" spans="1:26" x14ac:dyDescent="0.2">
      <c r="B12" s="266">
        <v>2000</v>
      </c>
      <c r="C12" s="422">
        <f t="shared" si="2"/>
        <v>6066.1890000000003</v>
      </c>
      <c r="D12" s="423">
        <f t="shared" si="6"/>
        <v>2856.8250000000003</v>
      </c>
      <c r="E12" s="424">
        <f t="shared" si="3"/>
        <v>3208.6640000000002</v>
      </c>
      <c r="F12" s="424"/>
      <c r="G12" s="425">
        <f>L12</f>
        <v>0.7</v>
      </c>
      <c r="H12" s="423">
        <f t="shared" si="4"/>
        <v>5148.8509999999997</v>
      </c>
      <c r="I12" s="423">
        <v>2779.26</v>
      </c>
      <c r="J12" s="423">
        <v>2368.8910000000001</v>
      </c>
      <c r="K12" s="423"/>
      <c r="L12" s="424">
        <v>0.7</v>
      </c>
      <c r="M12" s="423">
        <f t="shared" si="5"/>
        <v>917.33800000000019</v>
      </c>
      <c r="N12" s="426">
        <v>77.564999999999998</v>
      </c>
      <c r="O12" s="575">
        <v>839.77300000000014</v>
      </c>
      <c r="P12" s="564"/>
      <c r="Q12" s="564"/>
      <c r="R12" s="564"/>
      <c r="S12" s="564"/>
      <c r="U12" s="580">
        <f t="shared" si="1"/>
        <v>2002</v>
      </c>
      <c r="V12" s="560">
        <f t="shared" si="0"/>
        <v>5935.5330000000004</v>
      </c>
      <c r="W12" s="560">
        <f t="shared" si="0"/>
        <v>2996.4710000000014</v>
      </c>
      <c r="X12" s="560">
        <f t="shared" si="0"/>
        <v>2938.3619999999996</v>
      </c>
      <c r="Y12" s="561"/>
      <c r="Z12" s="560"/>
    </row>
    <row r="13" spans="1:26" x14ac:dyDescent="0.2">
      <c r="B13" s="265">
        <v>2001</v>
      </c>
      <c r="C13" s="418">
        <f t="shared" si="2"/>
        <v>5906.6930000000002</v>
      </c>
      <c r="D13" s="419">
        <f t="shared" si="6"/>
        <v>2966.328</v>
      </c>
      <c r="E13" s="427">
        <f t="shared" si="3"/>
        <v>2939.665</v>
      </c>
      <c r="F13" s="427"/>
      <c r="G13" s="427">
        <v>0.7</v>
      </c>
      <c r="H13" s="419">
        <f t="shared" si="4"/>
        <v>5050.8139999999994</v>
      </c>
      <c r="I13" s="427">
        <v>2889.433</v>
      </c>
      <c r="J13" s="427">
        <v>2160.681</v>
      </c>
      <c r="K13" s="427"/>
      <c r="L13" s="427">
        <v>0.7</v>
      </c>
      <c r="M13" s="419">
        <f t="shared" si="5"/>
        <v>855.87900000000002</v>
      </c>
      <c r="N13" s="420">
        <v>76.894999999999996</v>
      </c>
      <c r="O13" s="574">
        <v>778.98400000000004</v>
      </c>
      <c r="P13" s="565"/>
      <c r="Q13" s="565"/>
      <c r="R13" s="565"/>
      <c r="S13" s="565"/>
      <c r="U13" s="580">
        <f t="shared" si="1"/>
        <v>2003</v>
      </c>
      <c r="V13" s="560">
        <f t="shared" si="0"/>
        <v>5970.0630000000001</v>
      </c>
      <c r="W13" s="560">
        <f t="shared" si="0"/>
        <v>3032.3070000000002</v>
      </c>
      <c r="X13" s="560">
        <f t="shared" si="0"/>
        <v>2937.056</v>
      </c>
      <c r="Y13" s="561"/>
      <c r="Z13" s="560"/>
    </row>
    <row r="14" spans="1:26" x14ac:dyDescent="0.2">
      <c r="B14" s="266">
        <v>2002</v>
      </c>
      <c r="C14" s="422">
        <f t="shared" si="2"/>
        <v>5935.5330000000004</v>
      </c>
      <c r="D14" s="423">
        <f t="shared" si="6"/>
        <v>2996.4710000000014</v>
      </c>
      <c r="E14" s="424">
        <f t="shared" si="3"/>
        <v>2938.3619999999996</v>
      </c>
      <c r="F14" s="424"/>
      <c r="G14" s="424">
        <f t="shared" ref="G14:G25" si="7">SUM(L14)</f>
        <v>0.7</v>
      </c>
      <c r="H14" s="423">
        <f t="shared" si="4"/>
        <v>5068.0510000000004</v>
      </c>
      <c r="I14" s="424">
        <v>2917.6020000000012</v>
      </c>
      <c r="J14" s="424">
        <v>2149.7489999999998</v>
      </c>
      <c r="K14" s="424"/>
      <c r="L14" s="424">
        <v>0.7</v>
      </c>
      <c r="M14" s="423">
        <f t="shared" si="5"/>
        <v>867.48199999999974</v>
      </c>
      <c r="N14" s="426">
        <v>78.868999999999971</v>
      </c>
      <c r="O14" s="575">
        <v>788.61299999999983</v>
      </c>
      <c r="P14" s="564"/>
      <c r="Q14" s="564"/>
      <c r="R14" s="564"/>
      <c r="S14" s="564"/>
      <c r="U14" s="580">
        <f t="shared" si="1"/>
        <v>2004</v>
      </c>
      <c r="V14" s="560">
        <f t="shared" si="0"/>
        <v>6016.3186000000023</v>
      </c>
      <c r="W14" s="560">
        <f t="shared" si="0"/>
        <v>3055.8676000000023</v>
      </c>
      <c r="X14" s="560">
        <f t="shared" si="0"/>
        <v>2959.7510000000002</v>
      </c>
      <c r="Y14" s="561"/>
      <c r="Z14" s="560"/>
    </row>
    <row r="15" spans="1:26" x14ac:dyDescent="0.2">
      <c r="A15" s="4"/>
      <c r="B15" s="265">
        <v>2003</v>
      </c>
      <c r="C15" s="418">
        <f>SUM(D15:G15)</f>
        <v>5970.0630000000001</v>
      </c>
      <c r="D15" s="419">
        <f t="shared" si="6"/>
        <v>3032.3070000000002</v>
      </c>
      <c r="E15" s="427">
        <f t="shared" si="3"/>
        <v>2937.056</v>
      </c>
      <c r="F15" s="427"/>
      <c r="G15" s="427">
        <f t="shared" si="7"/>
        <v>0.7</v>
      </c>
      <c r="H15" s="419">
        <f>SUM(I15:L15)</f>
        <v>5095.1030000000001</v>
      </c>
      <c r="I15" s="427">
        <v>2946.8210000000004</v>
      </c>
      <c r="J15" s="427">
        <v>2147.5819999999999</v>
      </c>
      <c r="K15" s="427"/>
      <c r="L15" s="427">
        <v>0.7</v>
      </c>
      <c r="M15" s="419">
        <f>SUM(N15:O15)</f>
        <v>874.96</v>
      </c>
      <c r="N15" s="427">
        <v>85.48599999999999</v>
      </c>
      <c r="O15" s="574">
        <v>789.47400000000005</v>
      </c>
      <c r="P15" s="565"/>
      <c r="Q15" s="565"/>
      <c r="R15" s="565"/>
      <c r="S15" s="565"/>
      <c r="U15" s="580">
        <f t="shared" si="1"/>
        <v>2005</v>
      </c>
      <c r="V15" s="560">
        <f t="shared" si="0"/>
        <v>6200.5255999999999</v>
      </c>
      <c r="W15" s="560">
        <f t="shared" si="0"/>
        <v>3207.0616000000005</v>
      </c>
      <c r="X15" s="560">
        <f t="shared" si="0"/>
        <v>2992.7639999999992</v>
      </c>
      <c r="Y15" s="561"/>
      <c r="Z15" s="560"/>
    </row>
    <row r="16" spans="1:26" x14ac:dyDescent="0.2">
      <c r="A16" s="4"/>
      <c r="B16" s="266">
        <v>2004</v>
      </c>
      <c r="C16" s="422">
        <f t="shared" si="2"/>
        <v>6016.3186000000023</v>
      </c>
      <c r="D16" s="423">
        <f t="shared" si="6"/>
        <v>3055.8676000000023</v>
      </c>
      <c r="E16" s="424">
        <f t="shared" si="3"/>
        <v>2959.7510000000002</v>
      </c>
      <c r="F16" s="424"/>
      <c r="G16" s="424">
        <f t="shared" si="7"/>
        <v>0.7</v>
      </c>
      <c r="H16" s="423">
        <f t="shared" si="4"/>
        <v>5096.0216000000028</v>
      </c>
      <c r="I16" s="424">
        <v>2969.0596000000023</v>
      </c>
      <c r="J16" s="424">
        <v>2126.2620000000002</v>
      </c>
      <c r="K16" s="424"/>
      <c r="L16" s="424">
        <v>0.7</v>
      </c>
      <c r="M16" s="423">
        <f t="shared" si="5"/>
        <v>920.29700000000003</v>
      </c>
      <c r="N16" s="424">
        <v>86.807999999999964</v>
      </c>
      <c r="O16" s="575">
        <v>833.48900000000003</v>
      </c>
      <c r="P16" s="564"/>
      <c r="Q16" s="564"/>
      <c r="R16" s="564"/>
      <c r="S16" s="564"/>
      <c r="U16" s="580">
        <f t="shared" si="1"/>
        <v>2006</v>
      </c>
      <c r="V16" s="560">
        <f t="shared" si="0"/>
        <v>6658.1435999999994</v>
      </c>
      <c r="W16" s="560">
        <f t="shared" si="0"/>
        <v>3216.0025999999998</v>
      </c>
      <c r="X16" s="560">
        <f t="shared" si="0"/>
        <v>3441.4409999999998</v>
      </c>
      <c r="Y16" s="561"/>
      <c r="Z16" s="560"/>
    </row>
    <row r="17" spans="1:26" x14ac:dyDescent="0.2">
      <c r="A17" s="4"/>
      <c r="B17" s="265">
        <v>2005</v>
      </c>
      <c r="C17" s="418">
        <f t="shared" si="2"/>
        <v>6200.5255999999999</v>
      </c>
      <c r="D17" s="419">
        <f t="shared" si="6"/>
        <v>3207.0616000000005</v>
      </c>
      <c r="E17" s="427">
        <f t="shared" si="3"/>
        <v>2992.7639999999992</v>
      </c>
      <c r="F17" s="427"/>
      <c r="G17" s="427">
        <f t="shared" si="7"/>
        <v>0.7</v>
      </c>
      <c r="H17" s="419">
        <f t="shared" si="4"/>
        <v>5220.6336000000001</v>
      </c>
      <c r="I17" s="427">
        <v>3119.1996000000004</v>
      </c>
      <c r="J17" s="427">
        <v>2100.7339999999995</v>
      </c>
      <c r="K17" s="427"/>
      <c r="L17" s="427">
        <v>0.7</v>
      </c>
      <c r="M17" s="419">
        <f t="shared" ref="M17:M23" si="8">+N17+O17</f>
        <v>979.89199999999994</v>
      </c>
      <c r="N17" s="427">
        <v>87.861999999999981</v>
      </c>
      <c r="O17" s="574">
        <v>892.03</v>
      </c>
      <c r="P17" s="565"/>
      <c r="Q17" s="565"/>
      <c r="R17" s="565"/>
      <c r="S17" s="565"/>
      <c r="U17" s="580">
        <f t="shared" si="1"/>
        <v>2007</v>
      </c>
      <c r="V17" s="560">
        <f t="shared" si="0"/>
        <v>7027.5172000000002</v>
      </c>
      <c r="W17" s="560">
        <f t="shared" si="0"/>
        <v>3233.5982000000004</v>
      </c>
      <c r="X17" s="560">
        <f t="shared" si="0"/>
        <v>3793.2190000000001</v>
      </c>
      <c r="Y17" s="561"/>
      <c r="Z17" s="560"/>
    </row>
    <row r="18" spans="1:26" x14ac:dyDescent="0.2">
      <c r="A18" s="4"/>
      <c r="B18" s="266">
        <v>2006</v>
      </c>
      <c r="C18" s="422">
        <f>SUM(D18:G18)</f>
        <v>6658.1435999999994</v>
      </c>
      <c r="D18" s="423">
        <f t="shared" si="6"/>
        <v>3216.0025999999998</v>
      </c>
      <c r="E18" s="424">
        <f t="shared" si="3"/>
        <v>3441.4409999999998</v>
      </c>
      <c r="F18" s="424"/>
      <c r="G18" s="424">
        <f t="shared" si="7"/>
        <v>0.7</v>
      </c>
      <c r="H18" s="423">
        <f>SUM(I18:L18)</f>
        <v>5625.1415999999999</v>
      </c>
      <c r="I18" s="424">
        <v>3127.8006</v>
      </c>
      <c r="J18" s="424">
        <v>2496.6410000000001</v>
      </c>
      <c r="K18" s="424"/>
      <c r="L18" s="424">
        <v>0.7</v>
      </c>
      <c r="M18" s="423">
        <f t="shared" si="8"/>
        <v>1033.0019999999997</v>
      </c>
      <c r="N18" s="424">
        <v>88.201999999999998</v>
      </c>
      <c r="O18" s="575">
        <v>944.79999999999973</v>
      </c>
      <c r="P18" s="564"/>
      <c r="Q18" s="564"/>
      <c r="R18" s="564"/>
      <c r="S18" s="564"/>
      <c r="U18" s="580">
        <f t="shared" si="1"/>
        <v>2008</v>
      </c>
      <c r="V18" s="560">
        <f t="shared" si="0"/>
        <v>7157.9350000000031</v>
      </c>
      <c r="W18" s="560">
        <f t="shared" si="0"/>
        <v>3242.0260000000017</v>
      </c>
      <c r="X18" s="560">
        <f t="shared" si="0"/>
        <v>3915.2090000000017</v>
      </c>
      <c r="Y18" s="561"/>
      <c r="Z18" s="560"/>
    </row>
    <row r="19" spans="1:26" x14ac:dyDescent="0.2">
      <c r="B19" s="265">
        <v>2007</v>
      </c>
      <c r="C19" s="418">
        <f t="shared" si="2"/>
        <v>7027.5172000000002</v>
      </c>
      <c r="D19" s="419">
        <f t="shared" si="6"/>
        <v>3233.5982000000004</v>
      </c>
      <c r="E19" s="427">
        <f t="shared" si="3"/>
        <v>3793.2190000000001</v>
      </c>
      <c r="F19" s="427"/>
      <c r="G19" s="427">
        <f t="shared" si="7"/>
        <v>0.7</v>
      </c>
      <c r="H19" s="419">
        <f t="shared" si="4"/>
        <v>5989.7251999999999</v>
      </c>
      <c r="I19" s="427">
        <v>3145.1412000000005</v>
      </c>
      <c r="J19" s="427">
        <v>2843.884</v>
      </c>
      <c r="K19" s="427"/>
      <c r="L19" s="427">
        <v>0.7</v>
      </c>
      <c r="M19" s="419">
        <f t="shared" si="8"/>
        <v>1037.7919999999999</v>
      </c>
      <c r="N19" s="427">
        <v>88.456999999999994</v>
      </c>
      <c r="O19" s="574">
        <v>949.33499999999992</v>
      </c>
      <c r="P19" s="565"/>
      <c r="Q19" s="565"/>
      <c r="R19" s="565"/>
      <c r="S19" s="565"/>
      <c r="U19" s="580">
        <f t="shared" si="1"/>
        <v>2009</v>
      </c>
      <c r="V19" s="560">
        <f t="shared" si="0"/>
        <v>7986.4960000000019</v>
      </c>
      <c r="W19" s="560">
        <f t="shared" si="0"/>
        <v>3277.4640000000018</v>
      </c>
      <c r="X19" s="560">
        <f t="shared" si="0"/>
        <v>4708.3320000000003</v>
      </c>
      <c r="Y19" s="561"/>
      <c r="Z19" s="560"/>
    </row>
    <row r="20" spans="1:26" x14ac:dyDescent="0.2">
      <c r="B20" s="266">
        <v>2008</v>
      </c>
      <c r="C20" s="422">
        <f t="shared" si="2"/>
        <v>7157.9350000000031</v>
      </c>
      <c r="D20" s="423">
        <f t="shared" si="6"/>
        <v>3242.0260000000017</v>
      </c>
      <c r="E20" s="426">
        <f t="shared" si="3"/>
        <v>3915.2090000000017</v>
      </c>
      <c r="F20" s="426"/>
      <c r="G20" s="424">
        <f t="shared" si="7"/>
        <v>0.7</v>
      </c>
      <c r="H20" s="423">
        <f t="shared" si="4"/>
        <v>5996.9830000000029</v>
      </c>
      <c r="I20" s="424">
        <v>3152.0380000000018</v>
      </c>
      <c r="J20" s="424">
        <v>2844.2450000000008</v>
      </c>
      <c r="K20" s="424"/>
      <c r="L20" s="424">
        <v>0.7</v>
      </c>
      <c r="M20" s="423">
        <f t="shared" si="8"/>
        <v>1160.9520000000007</v>
      </c>
      <c r="N20" s="424">
        <v>89.987999999999971</v>
      </c>
      <c r="O20" s="575">
        <v>1070.9640000000006</v>
      </c>
      <c r="P20" s="564"/>
      <c r="Q20" s="564"/>
      <c r="R20" s="564"/>
      <c r="S20" s="564"/>
      <c r="U20" s="580">
        <f t="shared" si="1"/>
        <v>2010</v>
      </c>
      <c r="V20" s="560">
        <f t="shared" si="0"/>
        <v>8612.5569999999989</v>
      </c>
      <c r="W20" s="560">
        <f t="shared" si="0"/>
        <v>3437.6019999999999</v>
      </c>
      <c r="X20" s="560">
        <f t="shared" si="0"/>
        <v>5174.2549999999983</v>
      </c>
      <c r="Y20" s="561"/>
      <c r="Z20" s="560"/>
    </row>
    <row r="21" spans="1:26" x14ac:dyDescent="0.2">
      <c r="B21" s="265">
        <v>2009</v>
      </c>
      <c r="C21" s="418">
        <f t="shared" si="2"/>
        <v>7986.4960000000019</v>
      </c>
      <c r="D21" s="419">
        <f t="shared" si="6"/>
        <v>3277.4640000000018</v>
      </c>
      <c r="E21" s="420">
        <f t="shared" si="3"/>
        <v>4708.3320000000003</v>
      </c>
      <c r="F21" s="420"/>
      <c r="G21" s="427">
        <f t="shared" si="7"/>
        <v>0.7</v>
      </c>
      <c r="H21" s="419">
        <f t="shared" si="4"/>
        <v>6723.5160000000024</v>
      </c>
      <c r="I21" s="427">
        <v>3183.1260000000016</v>
      </c>
      <c r="J21" s="427">
        <v>3539.6900000000005</v>
      </c>
      <c r="K21" s="427"/>
      <c r="L21" s="427">
        <v>0.7</v>
      </c>
      <c r="M21" s="419">
        <f t="shared" si="8"/>
        <v>1262.9800000000002</v>
      </c>
      <c r="N21" s="427">
        <v>94.337999999999994</v>
      </c>
      <c r="O21" s="574">
        <v>1168.6420000000003</v>
      </c>
      <c r="P21" s="565"/>
      <c r="Q21" s="565"/>
      <c r="R21" s="565"/>
      <c r="S21" s="565"/>
      <c r="U21" s="580">
        <f t="shared" si="1"/>
        <v>2011</v>
      </c>
      <c r="V21" s="560">
        <f t="shared" si="0"/>
        <v>8691.3240000000005</v>
      </c>
      <c r="W21" s="560">
        <f t="shared" si="0"/>
        <v>3450.953</v>
      </c>
      <c r="X21" s="560">
        <f t="shared" si="0"/>
        <v>5239.6710000000003</v>
      </c>
      <c r="Y21" s="561"/>
      <c r="Z21" s="560"/>
    </row>
    <row r="22" spans="1:26" x14ac:dyDescent="0.2">
      <c r="B22" s="266">
        <v>2010</v>
      </c>
      <c r="C22" s="422">
        <f t="shared" si="2"/>
        <v>8612.5569999999989</v>
      </c>
      <c r="D22" s="423">
        <f t="shared" si="6"/>
        <v>3437.6019999999999</v>
      </c>
      <c r="E22" s="426">
        <f t="shared" si="3"/>
        <v>5174.2549999999983</v>
      </c>
      <c r="F22" s="426"/>
      <c r="G22" s="424">
        <f t="shared" si="7"/>
        <v>0.7</v>
      </c>
      <c r="H22" s="423">
        <f t="shared" si="4"/>
        <v>7309.1659999999983</v>
      </c>
      <c r="I22" s="424">
        <v>3344.7950000000001</v>
      </c>
      <c r="J22" s="424">
        <v>3963.6709999999989</v>
      </c>
      <c r="K22" s="424"/>
      <c r="L22" s="424">
        <v>0.7</v>
      </c>
      <c r="M22" s="423">
        <f>+N22+O22</f>
        <v>1303.3909999999996</v>
      </c>
      <c r="N22" s="424">
        <v>92.807000000000016</v>
      </c>
      <c r="O22" s="575">
        <v>1210.5839999999996</v>
      </c>
      <c r="P22" s="564"/>
      <c r="Q22" s="564"/>
      <c r="R22" s="564"/>
      <c r="S22" s="564"/>
      <c r="U22" s="580">
        <f t="shared" si="1"/>
        <v>2012</v>
      </c>
      <c r="V22" s="560">
        <f t="shared" ref="V22:Y23" si="9">C24</f>
        <v>9699.0969999999979</v>
      </c>
      <c r="W22" s="560">
        <f t="shared" si="9"/>
        <v>3483.9739999999988</v>
      </c>
      <c r="X22" s="560">
        <f t="shared" si="9"/>
        <v>6134.4229999999989</v>
      </c>
      <c r="Y22" s="560">
        <f t="shared" si="9"/>
        <v>80</v>
      </c>
      <c r="Z22" s="560"/>
    </row>
    <row r="23" spans="1:26" x14ac:dyDescent="0.2">
      <c r="B23" s="265">
        <v>2011</v>
      </c>
      <c r="C23" s="418">
        <f t="shared" si="2"/>
        <v>8691.3240000000005</v>
      </c>
      <c r="D23" s="419">
        <f t="shared" si="6"/>
        <v>3450.953</v>
      </c>
      <c r="E23" s="420">
        <f t="shared" si="3"/>
        <v>5239.6710000000003</v>
      </c>
      <c r="F23" s="420"/>
      <c r="G23" s="427">
        <f t="shared" si="7"/>
        <v>0.7</v>
      </c>
      <c r="H23" s="419">
        <f t="shared" si="4"/>
        <v>7314.2370000000001</v>
      </c>
      <c r="I23" s="419">
        <v>3357.06</v>
      </c>
      <c r="J23" s="419">
        <v>3956.4770000000003</v>
      </c>
      <c r="K23" s="427"/>
      <c r="L23" s="427">
        <v>0.7</v>
      </c>
      <c r="M23" s="419">
        <f t="shared" si="8"/>
        <v>1377.087</v>
      </c>
      <c r="N23" s="419">
        <v>93.893000000000001</v>
      </c>
      <c r="O23" s="576">
        <v>1283.194</v>
      </c>
      <c r="P23" s="565"/>
      <c r="Q23" s="565"/>
      <c r="R23" s="565"/>
      <c r="S23" s="565"/>
      <c r="U23" s="580">
        <f t="shared" si="1"/>
        <v>2013</v>
      </c>
      <c r="V23" s="560">
        <f t="shared" si="9"/>
        <v>11050.719000000001</v>
      </c>
      <c r="W23" s="560">
        <f t="shared" si="9"/>
        <v>3556.1819999999998</v>
      </c>
      <c r="X23" s="560">
        <f t="shared" si="9"/>
        <v>7413.8369999999995</v>
      </c>
      <c r="Y23" s="560">
        <f t="shared" si="9"/>
        <v>80</v>
      </c>
      <c r="Z23" s="560"/>
    </row>
    <row r="24" spans="1:26" x14ac:dyDescent="0.2">
      <c r="B24" s="267">
        <v>2012</v>
      </c>
      <c r="C24" s="429">
        <f t="shared" si="2"/>
        <v>9699.0969999999979</v>
      </c>
      <c r="D24" s="430">
        <f>SUM(I24,N24)</f>
        <v>3483.9739999999988</v>
      </c>
      <c r="E24" s="431">
        <f>SUM(J24,O24)</f>
        <v>6134.4229999999989</v>
      </c>
      <c r="F24" s="432">
        <f t="shared" ref="F24:F29" si="10">SUM(K24)</f>
        <v>80</v>
      </c>
      <c r="G24" s="432">
        <f t="shared" si="7"/>
        <v>0.7</v>
      </c>
      <c r="H24" s="430">
        <f t="shared" si="4"/>
        <v>8267.1709999999985</v>
      </c>
      <c r="I24" s="424">
        <v>3380.829999999999</v>
      </c>
      <c r="J24" s="424">
        <v>4805.6409999999987</v>
      </c>
      <c r="K24" s="432">
        <v>80</v>
      </c>
      <c r="L24" s="432">
        <v>0.7</v>
      </c>
      <c r="M24" s="430">
        <f t="shared" ref="M24:M31" si="11">+N24+O24</f>
        <v>1431.9260000000006</v>
      </c>
      <c r="N24" s="424">
        <v>103.14399999999998</v>
      </c>
      <c r="O24" s="575">
        <v>1328.7820000000006</v>
      </c>
      <c r="P24" s="564"/>
      <c r="Q24" s="564"/>
      <c r="R24" s="564"/>
      <c r="S24" s="564"/>
      <c r="U24" s="580">
        <f t="shared" si="1"/>
        <v>2014</v>
      </c>
      <c r="V24" s="560">
        <f t="shared" ref="V24:Z25" si="12">C26</f>
        <v>11202.619000000001</v>
      </c>
      <c r="W24" s="560">
        <f t="shared" si="12"/>
        <v>3661.8649999999993</v>
      </c>
      <c r="X24" s="560">
        <f t="shared" si="12"/>
        <v>7302.054000000001</v>
      </c>
      <c r="Y24" s="560">
        <f t="shared" si="12"/>
        <v>96</v>
      </c>
      <c r="Z24" s="560">
        <f t="shared" si="12"/>
        <v>142.69999999999999</v>
      </c>
    </row>
    <row r="25" spans="1:26" x14ac:dyDescent="0.2">
      <c r="B25" s="268">
        <v>2013</v>
      </c>
      <c r="C25" s="433">
        <f t="shared" si="2"/>
        <v>11050.719000000001</v>
      </c>
      <c r="D25" s="434">
        <f t="shared" si="6"/>
        <v>3556.1819999999998</v>
      </c>
      <c r="E25" s="435">
        <f t="shared" si="3"/>
        <v>7413.8369999999995</v>
      </c>
      <c r="F25" s="436">
        <f t="shared" si="10"/>
        <v>80</v>
      </c>
      <c r="G25" s="436">
        <f t="shared" si="7"/>
        <v>0.7</v>
      </c>
      <c r="H25" s="434">
        <f t="shared" si="4"/>
        <v>9634.6310000000012</v>
      </c>
      <c r="I25" s="436">
        <v>3450.5469999999996</v>
      </c>
      <c r="J25" s="436">
        <v>6103.384</v>
      </c>
      <c r="K25" s="436">
        <v>80</v>
      </c>
      <c r="L25" s="436">
        <v>0.7</v>
      </c>
      <c r="M25" s="434">
        <f t="shared" si="11"/>
        <v>1416.088</v>
      </c>
      <c r="N25" s="436">
        <v>105.63500000000002</v>
      </c>
      <c r="O25" s="577">
        <v>1310.453</v>
      </c>
      <c r="P25" s="566"/>
      <c r="Q25" s="566"/>
      <c r="R25" s="566"/>
      <c r="S25" s="566"/>
      <c r="U25" s="580">
        <f t="shared" si="1"/>
        <v>2015</v>
      </c>
      <c r="V25" s="560">
        <f t="shared" si="12"/>
        <v>12188.626999999999</v>
      </c>
      <c r="W25" s="560">
        <f t="shared" si="12"/>
        <v>4151.8429999999998</v>
      </c>
      <c r="X25" s="560">
        <f t="shared" si="12"/>
        <v>7700.9839999999995</v>
      </c>
      <c r="Y25" s="560">
        <f t="shared" si="12"/>
        <v>96</v>
      </c>
      <c r="Z25" s="560">
        <f t="shared" si="12"/>
        <v>239.79999999999998</v>
      </c>
    </row>
    <row r="26" spans="1:26" x14ac:dyDescent="0.2">
      <c r="B26" s="339">
        <v>2014</v>
      </c>
      <c r="C26" s="422">
        <f t="shared" ref="C26:C31" si="13">SUM(D26:G26)</f>
        <v>11202.619000000001</v>
      </c>
      <c r="D26" s="423">
        <f t="shared" ref="D26:E28" si="14">SUM(I26,N26)</f>
        <v>3661.8649999999993</v>
      </c>
      <c r="E26" s="426">
        <f t="shared" si="14"/>
        <v>7302.054000000001</v>
      </c>
      <c r="F26" s="426">
        <f t="shared" si="10"/>
        <v>96</v>
      </c>
      <c r="G26" s="424">
        <f t="shared" ref="G26:G31" si="15">SUM(L26)</f>
        <v>142.69999999999999</v>
      </c>
      <c r="H26" s="423">
        <f t="shared" ref="H26:H31" si="16">SUM(I26:L26)</f>
        <v>9739.2480000000014</v>
      </c>
      <c r="I26" s="424">
        <v>3558.2689999999993</v>
      </c>
      <c r="J26" s="424">
        <v>5942.2790000000014</v>
      </c>
      <c r="K26" s="424">
        <v>96</v>
      </c>
      <c r="L26" s="424">
        <v>142.69999999999999</v>
      </c>
      <c r="M26" s="423">
        <f t="shared" si="11"/>
        <v>1463.3709999999996</v>
      </c>
      <c r="N26" s="424">
        <v>103.596</v>
      </c>
      <c r="O26" s="575">
        <v>1359.7749999999996</v>
      </c>
      <c r="P26" s="564"/>
      <c r="Q26" s="564"/>
      <c r="R26" s="564"/>
      <c r="S26" s="564"/>
      <c r="U26" s="580">
        <f t="shared" si="1"/>
        <v>2016</v>
      </c>
      <c r="V26" s="560">
        <f t="shared" ref="V26:Z27" si="17">C28</f>
        <v>14517.715</v>
      </c>
      <c r="W26" s="560">
        <f t="shared" si="17"/>
        <v>5189.2449999999999</v>
      </c>
      <c r="X26" s="560">
        <f t="shared" si="17"/>
        <v>8988.5199999999986</v>
      </c>
      <c r="Y26" s="560">
        <f t="shared" si="17"/>
        <v>100</v>
      </c>
      <c r="Z26" s="560">
        <f t="shared" si="17"/>
        <v>239.95</v>
      </c>
    </row>
    <row r="27" spans="1:26" x14ac:dyDescent="0.2">
      <c r="B27" s="355">
        <v>2015</v>
      </c>
      <c r="C27" s="433">
        <f t="shared" si="13"/>
        <v>12188.626999999999</v>
      </c>
      <c r="D27" s="434">
        <f t="shared" si="14"/>
        <v>4151.8429999999998</v>
      </c>
      <c r="E27" s="435">
        <f t="shared" si="14"/>
        <v>7700.9839999999995</v>
      </c>
      <c r="F27" s="436">
        <f t="shared" si="10"/>
        <v>96</v>
      </c>
      <c r="G27" s="436">
        <f t="shared" si="15"/>
        <v>239.79999999999998</v>
      </c>
      <c r="H27" s="434">
        <f t="shared" si="16"/>
        <v>10717.713</v>
      </c>
      <c r="I27" s="436">
        <v>4047.8670000000002</v>
      </c>
      <c r="J27" s="436">
        <v>6334.0459999999994</v>
      </c>
      <c r="K27" s="436">
        <v>96</v>
      </c>
      <c r="L27" s="436">
        <v>239.79999999999998</v>
      </c>
      <c r="M27" s="434">
        <f t="shared" si="11"/>
        <v>1470.9139999999998</v>
      </c>
      <c r="N27" s="436">
        <v>103.97599999999998</v>
      </c>
      <c r="O27" s="577">
        <v>1366.9379999999999</v>
      </c>
      <c r="P27" s="566"/>
      <c r="Q27" s="566"/>
      <c r="R27" s="566"/>
      <c r="S27" s="566"/>
      <c r="U27" s="580">
        <f>+B29</f>
        <v>2017</v>
      </c>
      <c r="V27" s="560">
        <f t="shared" si="17"/>
        <v>14734.771000000015</v>
      </c>
      <c r="W27" s="560">
        <f t="shared" si="17"/>
        <v>5245.9300000000067</v>
      </c>
      <c r="X27" s="560">
        <f t="shared" si="17"/>
        <v>9004.4070000000065</v>
      </c>
      <c r="Y27" s="560">
        <f t="shared" si="17"/>
        <v>244.48400000000001</v>
      </c>
      <c r="Z27" s="560">
        <f t="shared" si="17"/>
        <v>239.95</v>
      </c>
    </row>
    <row r="28" spans="1:26" x14ac:dyDescent="0.2">
      <c r="B28" s="525">
        <v>2016</v>
      </c>
      <c r="C28" s="437">
        <f t="shared" si="13"/>
        <v>14517.715</v>
      </c>
      <c r="D28" s="438">
        <f t="shared" si="14"/>
        <v>5189.2449999999999</v>
      </c>
      <c r="E28" s="439">
        <f t="shared" si="14"/>
        <v>8988.5199999999986</v>
      </c>
      <c r="F28" s="440">
        <f t="shared" si="10"/>
        <v>100</v>
      </c>
      <c r="G28" s="440">
        <f t="shared" si="15"/>
        <v>239.95</v>
      </c>
      <c r="H28" s="438">
        <f t="shared" si="16"/>
        <v>13044.474</v>
      </c>
      <c r="I28" s="440">
        <v>5072.4690000000001</v>
      </c>
      <c r="J28" s="440">
        <v>7632.0549999999994</v>
      </c>
      <c r="K28" s="440">
        <v>100</v>
      </c>
      <c r="L28" s="440">
        <v>239.95</v>
      </c>
      <c r="M28" s="438">
        <f t="shared" si="11"/>
        <v>1473.2409999999998</v>
      </c>
      <c r="N28" s="440">
        <v>116.776</v>
      </c>
      <c r="O28" s="578">
        <v>1356.4649999999997</v>
      </c>
      <c r="P28" s="567"/>
      <c r="Q28" s="567"/>
      <c r="R28" s="567"/>
      <c r="S28" s="567"/>
      <c r="U28" s="580">
        <f>+B30</f>
        <v>2018</v>
      </c>
      <c r="V28" s="560">
        <f t="shared" ref="V28:Z29" si="18">C30</f>
        <v>15144.58600000001</v>
      </c>
      <c r="W28" s="560">
        <f t="shared" si="18"/>
        <v>5363.3650000000007</v>
      </c>
      <c r="X28" s="560">
        <f t="shared" si="18"/>
        <v>9124.4870000000083</v>
      </c>
      <c r="Y28" s="560">
        <f t="shared" si="18"/>
        <v>284.48400000000004</v>
      </c>
      <c r="Z28" s="560">
        <f t="shared" si="18"/>
        <v>372.24999999999994</v>
      </c>
    </row>
    <row r="29" spans="1:26" x14ac:dyDescent="0.2">
      <c r="B29" s="355">
        <v>2017</v>
      </c>
      <c r="C29" s="433">
        <f t="shared" si="13"/>
        <v>14734.771000000015</v>
      </c>
      <c r="D29" s="434">
        <f t="shared" ref="D29:E31" si="19">SUM(I29,N29)</f>
        <v>5245.9300000000067</v>
      </c>
      <c r="E29" s="435">
        <f t="shared" si="19"/>
        <v>9004.4070000000065</v>
      </c>
      <c r="F29" s="436">
        <f t="shared" si="10"/>
        <v>244.48400000000001</v>
      </c>
      <c r="G29" s="436">
        <f t="shared" si="15"/>
        <v>239.95</v>
      </c>
      <c r="H29" s="434">
        <f t="shared" si="16"/>
        <v>13238.762000000013</v>
      </c>
      <c r="I29" s="436">
        <v>5115.7070000000067</v>
      </c>
      <c r="J29" s="436">
        <v>7638.6210000000065</v>
      </c>
      <c r="K29" s="436">
        <v>244.48400000000001</v>
      </c>
      <c r="L29" s="436">
        <v>239.95</v>
      </c>
      <c r="M29" s="434">
        <f t="shared" si="11"/>
        <v>1496.0089999999998</v>
      </c>
      <c r="N29" s="436">
        <v>130.22299999999998</v>
      </c>
      <c r="O29" s="577">
        <v>1365.7859999999998</v>
      </c>
      <c r="P29" s="567"/>
      <c r="Q29" s="567"/>
      <c r="R29" s="567"/>
      <c r="S29" s="567"/>
      <c r="U29" s="571">
        <v>2019</v>
      </c>
      <c r="V29" s="560">
        <f t="shared" si="18"/>
        <v>15122.840000000011</v>
      </c>
      <c r="W29" s="560">
        <f t="shared" si="18"/>
        <v>5397.2050000000027</v>
      </c>
      <c r="X29" s="560">
        <f t="shared" si="18"/>
        <v>9064.3510000000097</v>
      </c>
      <c r="Y29" s="560">
        <f t="shared" si="18"/>
        <v>289.03399999999999</v>
      </c>
      <c r="Z29" s="560">
        <f t="shared" si="18"/>
        <v>372.24999999999994</v>
      </c>
    </row>
    <row r="30" spans="1:26" x14ac:dyDescent="0.2">
      <c r="B30" s="525">
        <v>2018</v>
      </c>
      <c r="C30" s="437">
        <f t="shared" si="13"/>
        <v>15144.58600000001</v>
      </c>
      <c r="D30" s="438">
        <f t="shared" si="19"/>
        <v>5363.3650000000007</v>
      </c>
      <c r="E30" s="439">
        <f t="shared" si="19"/>
        <v>9124.4870000000083</v>
      </c>
      <c r="F30" s="440">
        <f>SUM(K30)</f>
        <v>284.48400000000004</v>
      </c>
      <c r="G30" s="440">
        <f t="shared" si="15"/>
        <v>372.24999999999994</v>
      </c>
      <c r="H30" s="438">
        <f t="shared" si="16"/>
        <v>13649.930000000008</v>
      </c>
      <c r="I30" s="440">
        <v>5232.4620000000004</v>
      </c>
      <c r="J30" s="440">
        <v>7760.7340000000077</v>
      </c>
      <c r="K30" s="440">
        <v>284.48400000000004</v>
      </c>
      <c r="L30" s="440">
        <v>372.24999999999994</v>
      </c>
      <c r="M30" s="438">
        <f>+N30+O30</f>
        <v>1494.6559999999999</v>
      </c>
      <c r="N30" s="440">
        <v>130.90299999999999</v>
      </c>
      <c r="O30" s="578">
        <v>1363.7529999999999</v>
      </c>
      <c r="P30" s="567"/>
      <c r="Q30" s="567"/>
      <c r="R30" s="567"/>
      <c r="S30" s="567"/>
      <c r="V30" s="572"/>
      <c r="W30" s="572"/>
      <c r="X30" s="572"/>
    </row>
    <row r="31" spans="1:26" x14ac:dyDescent="0.2">
      <c r="B31" s="1245">
        <v>2019</v>
      </c>
      <c r="C31" s="433">
        <f t="shared" si="13"/>
        <v>15122.840000000011</v>
      </c>
      <c r="D31" s="434">
        <f t="shared" si="19"/>
        <v>5397.2050000000027</v>
      </c>
      <c r="E31" s="435">
        <f t="shared" si="19"/>
        <v>9064.3510000000097</v>
      </c>
      <c r="F31" s="436">
        <f t="shared" ref="F31" si="20">SUM(K31)</f>
        <v>289.03399999999999</v>
      </c>
      <c r="G31" s="436">
        <f t="shared" si="15"/>
        <v>372.24999999999994</v>
      </c>
      <c r="H31" s="434">
        <f t="shared" si="16"/>
        <v>13650.195000000011</v>
      </c>
      <c r="I31" s="436">
        <v>5266.3020000000024</v>
      </c>
      <c r="J31" s="436">
        <v>7722.6090000000086</v>
      </c>
      <c r="K31" s="436">
        <v>289.03399999999999</v>
      </c>
      <c r="L31" s="436">
        <v>372.24999999999994</v>
      </c>
      <c r="M31" s="434">
        <f t="shared" si="11"/>
        <v>1472.6450000000007</v>
      </c>
      <c r="N31" s="436">
        <v>130.90299999999999</v>
      </c>
      <c r="O31" s="577">
        <v>1341.7420000000006</v>
      </c>
      <c r="P31" s="567"/>
      <c r="Q31" s="567"/>
      <c r="R31" s="567"/>
      <c r="S31" s="567"/>
      <c r="V31" s="572"/>
      <c r="W31" s="572"/>
      <c r="X31" s="572"/>
    </row>
    <row r="32" spans="1:26" ht="13.5" thickBot="1" x14ac:dyDescent="0.25">
      <c r="B32" s="496"/>
      <c r="C32" s="497"/>
      <c r="D32" s="203"/>
      <c r="E32" s="498"/>
      <c r="F32" s="204"/>
      <c r="G32" s="205"/>
      <c r="H32" s="203"/>
      <c r="I32" s="204"/>
      <c r="J32" s="204"/>
      <c r="K32" s="204"/>
      <c r="L32" s="205"/>
      <c r="M32" s="203"/>
      <c r="N32" s="205"/>
      <c r="O32" s="579"/>
      <c r="P32" s="568"/>
      <c r="Q32" s="568"/>
      <c r="R32" s="568"/>
      <c r="S32" s="568"/>
      <c r="V32" s="572"/>
      <c r="W32" s="572"/>
      <c r="X32" s="572"/>
    </row>
    <row r="33" spans="2:31" x14ac:dyDescent="0.2">
      <c r="B33" s="55" t="s">
        <v>356</v>
      </c>
      <c r="C33" s="528">
        <f t="shared" ref="C33:O33" si="21">(C31/C30)-1</f>
        <v>-1.4358926681785622E-3</v>
      </c>
      <c r="D33" s="1081">
        <f t="shared" si="21"/>
        <v>6.3094717588680904E-3</v>
      </c>
      <c r="E33" s="1081">
        <f t="shared" si="21"/>
        <v>-6.5906170944184383E-3</v>
      </c>
      <c r="F33" s="1081">
        <f t="shared" si="21"/>
        <v>1.5993869602508148E-2</v>
      </c>
      <c r="G33" s="1081">
        <f t="shared" si="21"/>
        <v>0</v>
      </c>
      <c r="H33" s="1081">
        <f t="shared" si="21"/>
        <v>1.9414018973318292E-5</v>
      </c>
      <c r="I33" s="1081">
        <f t="shared" si="21"/>
        <v>6.467318826204993E-3</v>
      </c>
      <c r="J33" s="1081">
        <f t="shared" si="21"/>
        <v>-4.9125507973858396E-3</v>
      </c>
      <c r="K33" s="1081">
        <f t="shared" si="21"/>
        <v>1.5993869602508148E-2</v>
      </c>
      <c r="L33" s="1081">
        <f t="shared" si="21"/>
        <v>0</v>
      </c>
      <c r="M33" s="1081">
        <f t="shared" si="21"/>
        <v>-1.4726465487710394E-2</v>
      </c>
      <c r="N33" s="1081">
        <f t="shared" si="21"/>
        <v>0</v>
      </c>
      <c r="O33" s="1081">
        <f t="shared" si="21"/>
        <v>-1.6140019490332391E-2</v>
      </c>
      <c r="P33" s="569"/>
      <c r="Q33" s="569"/>
      <c r="R33" s="569"/>
      <c r="S33" s="569"/>
      <c r="V33" s="572"/>
      <c r="W33" s="572"/>
      <c r="X33" s="572"/>
    </row>
    <row r="34" spans="2:31" s="4" customFormat="1" ht="12.75" customHeight="1" x14ac:dyDescent="0.2">
      <c r="B34" s="269" t="s">
        <v>357</v>
      </c>
      <c r="C34" s="529">
        <f t="shared" ref="C34:O34" si="22">((C31/C26)^(1/5))-1</f>
        <v>6.1848989972958845E-2</v>
      </c>
      <c r="D34" s="1082">
        <f t="shared" si="22"/>
        <v>8.0670551298940074E-2</v>
      </c>
      <c r="E34" s="1082">
        <f t="shared" si="22"/>
        <v>4.4187127012372596E-2</v>
      </c>
      <c r="F34" s="1082">
        <f t="shared" si="22"/>
        <v>0.2466241617905931</v>
      </c>
      <c r="G34" s="1082">
        <f t="shared" si="22"/>
        <v>0.21138487437420528</v>
      </c>
      <c r="H34" s="1082">
        <f t="shared" si="22"/>
        <v>6.9849495310684517E-2</v>
      </c>
      <c r="I34" s="1082">
        <f t="shared" si="22"/>
        <v>8.1566922207860992E-2</v>
      </c>
      <c r="J34" s="1082">
        <f t="shared" si="22"/>
        <v>5.3809723777869189E-2</v>
      </c>
      <c r="K34" s="1082">
        <f t="shared" si="22"/>
        <v>0.2466241617905931</v>
      </c>
      <c r="L34" s="1082">
        <f t="shared" si="22"/>
        <v>0.21138487437420528</v>
      </c>
      <c r="M34" s="1082">
        <f t="shared" si="22"/>
        <v>1.2642835885934289E-3</v>
      </c>
      <c r="N34" s="1082">
        <f t="shared" si="22"/>
        <v>4.7903576358080846E-2</v>
      </c>
      <c r="O34" s="1082">
        <f t="shared" si="22"/>
        <v>-2.6665335048561278E-3</v>
      </c>
      <c r="P34" s="570"/>
      <c r="Q34" s="570"/>
      <c r="R34" s="570"/>
      <c r="S34" s="570"/>
      <c r="T34" s="581"/>
      <c r="U34" s="581"/>
      <c r="V34" s="582"/>
      <c r="W34" s="582"/>
      <c r="X34" s="582"/>
      <c r="Y34" s="581"/>
      <c r="Z34" s="581"/>
      <c r="AA34" s="581"/>
      <c r="AB34" s="581"/>
      <c r="AC34" s="581"/>
      <c r="AD34" s="581"/>
      <c r="AE34" s="581"/>
    </row>
    <row r="35" spans="2:31" x14ac:dyDescent="0.2">
      <c r="B35" s="270" t="s">
        <v>358</v>
      </c>
      <c r="C35" s="481">
        <f>(C31/C21)-1</f>
        <v>0.89355131461907789</v>
      </c>
      <c r="D35" s="1083">
        <f>(D31/D21)-1</f>
        <v>0.64676255788011705</v>
      </c>
      <c r="E35" s="1083">
        <f>(E31/E21)-1</f>
        <v>0.92517243898688739</v>
      </c>
      <c r="F35" s="1083" t="s">
        <v>75</v>
      </c>
      <c r="G35" s="1083" t="s">
        <v>75</v>
      </c>
      <c r="H35" s="1083">
        <f>(H31/H21)-1</f>
        <v>1.0302167794350465</v>
      </c>
      <c r="I35" s="1083">
        <f>(I31/I21)-1</f>
        <v>0.65444346218151583</v>
      </c>
      <c r="J35" s="1083">
        <f>(J31/J21)-1</f>
        <v>1.181719020592201</v>
      </c>
      <c r="K35" s="1083" t="s">
        <v>75</v>
      </c>
      <c r="L35" s="1083" t="s">
        <v>75</v>
      </c>
      <c r="M35" s="1083">
        <f>(M31/M21)-1</f>
        <v>0.1660081711507706</v>
      </c>
      <c r="N35" s="1083">
        <f>(N31/N21)-1</f>
        <v>0.3875956666454663</v>
      </c>
      <c r="O35" s="1083">
        <f>(O31/O21)-1</f>
        <v>0.14812063916922402</v>
      </c>
      <c r="P35" s="569"/>
      <c r="Q35" s="569"/>
      <c r="R35" s="569"/>
      <c r="S35" s="569"/>
      <c r="V35" s="572"/>
      <c r="W35" s="572"/>
      <c r="X35" s="572"/>
    </row>
    <row r="36" spans="2:31" s="4" customFormat="1" ht="12.75" customHeight="1" thickBot="1" x14ac:dyDescent="0.25">
      <c r="B36" s="271" t="s">
        <v>359</v>
      </c>
      <c r="C36" s="1078">
        <f>((C31/C21)^(1/10))-1</f>
        <v>6.5927600907225825E-2</v>
      </c>
      <c r="D36" s="1079">
        <f>((D31/D21)^(1/10))-1</f>
        <v>5.114613651333455E-2</v>
      </c>
      <c r="E36" s="1079">
        <f>((E31/E21)^(1/10))-1</f>
        <v>6.7694396767928877E-2</v>
      </c>
      <c r="F36" s="1079" t="s">
        <v>75</v>
      </c>
      <c r="G36" s="1079" t="s">
        <v>75</v>
      </c>
      <c r="H36" s="1079">
        <f>((H31/H21)^(1/10))-1</f>
        <v>7.338183475276483E-2</v>
      </c>
      <c r="I36" s="1079">
        <f>((I31/I21)^(1/10))-1</f>
        <v>5.1635390817177163E-2</v>
      </c>
      <c r="J36" s="1079">
        <f>((J31/J21)^(1/10))-1</f>
        <v>8.113488706048666E-2</v>
      </c>
      <c r="K36" s="1079" t="s">
        <v>75</v>
      </c>
      <c r="L36" s="1079" t="s">
        <v>75</v>
      </c>
      <c r="M36" s="1079">
        <f>((M31/M21)^(1/10))-1</f>
        <v>1.5477159160568243E-2</v>
      </c>
      <c r="N36" s="1079">
        <f>((N31/N21)^(1/10))-1</f>
        <v>3.3299676661212807E-2</v>
      </c>
      <c r="O36" s="1084">
        <f>((O31/O21)^(1/10))-1</f>
        <v>1.3908473095965324E-2</v>
      </c>
      <c r="P36" s="570"/>
      <c r="Q36" s="570"/>
      <c r="R36" s="570"/>
      <c r="S36" s="570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</row>
    <row r="37" spans="2:31" x14ac:dyDescent="0.2">
      <c r="B37" s="272"/>
      <c r="V37" s="571" t="s">
        <v>46</v>
      </c>
    </row>
    <row r="38" spans="2:31" x14ac:dyDescent="0.2">
      <c r="B38" s="21"/>
      <c r="V38" s="571" t="s">
        <v>0</v>
      </c>
      <c r="W38" s="571" t="s">
        <v>4</v>
      </c>
      <c r="X38" s="571" t="s">
        <v>5</v>
      </c>
      <c r="Y38" s="571" t="s">
        <v>58</v>
      </c>
      <c r="Z38" s="571" t="s">
        <v>6</v>
      </c>
    </row>
    <row r="39" spans="2:31" x14ac:dyDescent="0.2">
      <c r="U39" s="571">
        <v>1995</v>
      </c>
      <c r="V39" s="572">
        <f t="shared" ref="V39:X55" si="23">H7</f>
        <v>3185.7</v>
      </c>
      <c r="W39" s="572">
        <f t="shared" si="23"/>
        <v>2190</v>
      </c>
      <c r="X39" s="572">
        <f t="shared" si="23"/>
        <v>995.7</v>
      </c>
      <c r="Z39" s="572"/>
    </row>
    <row r="40" spans="2:31" x14ac:dyDescent="0.2">
      <c r="U40" s="571">
        <v>1996</v>
      </c>
      <c r="V40" s="572">
        <f t="shared" si="23"/>
        <v>3352.8809999999999</v>
      </c>
      <c r="W40" s="572">
        <f t="shared" si="23"/>
        <v>2200.1839999999997</v>
      </c>
      <c r="X40" s="572">
        <f t="shared" si="23"/>
        <v>1152.4470000000001</v>
      </c>
      <c r="Z40" s="572"/>
    </row>
    <row r="41" spans="2:31" x14ac:dyDescent="0.2">
      <c r="U41" s="571">
        <v>1997</v>
      </c>
      <c r="V41" s="572">
        <f t="shared" si="23"/>
        <v>4325.0209999999997</v>
      </c>
      <c r="W41" s="572">
        <f t="shared" si="23"/>
        <v>2411.5189999999998</v>
      </c>
      <c r="X41" s="572">
        <f t="shared" si="23"/>
        <v>1913.252</v>
      </c>
      <c r="Z41" s="572"/>
    </row>
    <row r="42" spans="2:31" x14ac:dyDescent="0.2">
      <c r="U42" s="571">
        <v>1998</v>
      </c>
      <c r="V42" s="572">
        <f t="shared" si="23"/>
        <v>4632.2780000000002</v>
      </c>
      <c r="W42" s="572">
        <f t="shared" si="23"/>
        <v>2467.4160000000002</v>
      </c>
      <c r="X42" s="572">
        <f t="shared" si="23"/>
        <v>2164.6119999999996</v>
      </c>
      <c r="Z42" s="572"/>
    </row>
    <row r="43" spans="2:31" x14ac:dyDescent="0.2">
      <c r="U43" s="571">
        <v>1999</v>
      </c>
      <c r="V43" s="572">
        <f t="shared" si="23"/>
        <v>4828.2429999999995</v>
      </c>
      <c r="W43" s="572">
        <f t="shared" si="23"/>
        <v>2587.1289999999999</v>
      </c>
      <c r="X43" s="572">
        <f t="shared" si="23"/>
        <v>2240.4140000000002</v>
      </c>
      <c r="Z43" s="572"/>
    </row>
    <row r="44" spans="2:31" x14ac:dyDescent="0.2">
      <c r="U44" s="571">
        <v>2000</v>
      </c>
      <c r="V44" s="572">
        <f t="shared" si="23"/>
        <v>5148.8509999999997</v>
      </c>
      <c r="W44" s="572">
        <f t="shared" si="23"/>
        <v>2779.26</v>
      </c>
      <c r="X44" s="572">
        <f t="shared" si="23"/>
        <v>2368.8910000000001</v>
      </c>
      <c r="Z44" s="572"/>
    </row>
    <row r="45" spans="2:31" x14ac:dyDescent="0.2">
      <c r="U45" s="571">
        <v>2001</v>
      </c>
      <c r="V45" s="572">
        <f t="shared" si="23"/>
        <v>5050.8139999999994</v>
      </c>
      <c r="W45" s="572">
        <f t="shared" si="23"/>
        <v>2889.433</v>
      </c>
      <c r="X45" s="572">
        <f t="shared" si="23"/>
        <v>2160.681</v>
      </c>
      <c r="Z45" s="572"/>
    </row>
    <row r="46" spans="2:31" x14ac:dyDescent="0.2">
      <c r="U46" s="583">
        <v>2002</v>
      </c>
      <c r="V46" s="572">
        <f t="shared" si="23"/>
        <v>5068.0510000000004</v>
      </c>
      <c r="W46" s="572">
        <f t="shared" si="23"/>
        <v>2917.6020000000012</v>
      </c>
      <c r="X46" s="572">
        <f t="shared" si="23"/>
        <v>2149.7489999999998</v>
      </c>
      <c r="Z46" s="572"/>
    </row>
    <row r="47" spans="2:31" x14ac:dyDescent="0.2">
      <c r="U47" s="571">
        <v>2003</v>
      </c>
      <c r="V47" s="572">
        <f t="shared" si="23"/>
        <v>5095.1030000000001</v>
      </c>
      <c r="W47" s="572">
        <f t="shared" si="23"/>
        <v>2946.8210000000004</v>
      </c>
      <c r="X47" s="572">
        <f t="shared" si="23"/>
        <v>2147.5819999999999</v>
      </c>
      <c r="Z47" s="572"/>
    </row>
    <row r="48" spans="2:31" x14ac:dyDescent="0.2">
      <c r="U48" s="571">
        <v>2004</v>
      </c>
      <c r="V48" s="572">
        <f t="shared" si="23"/>
        <v>5096.0216000000028</v>
      </c>
      <c r="W48" s="572">
        <f t="shared" si="23"/>
        <v>2969.0596000000023</v>
      </c>
      <c r="X48" s="572">
        <f t="shared" si="23"/>
        <v>2126.2620000000002</v>
      </c>
      <c r="Z48" s="572"/>
    </row>
    <row r="49" spans="21:26" x14ac:dyDescent="0.2">
      <c r="U49" s="571">
        <v>2005</v>
      </c>
      <c r="V49" s="572">
        <f t="shared" si="23"/>
        <v>5220.6336000000001</v>
      </c>
      <c r="W49" s="572">
        <f t="shared" si="23"/>
        <v>3119.1996000000004</v>
      </c>
      <c r="X49" s="572">
        <f t="shared" si="23"/>
        <v>2100.7339999999995</v>
      </c>
      <c r="Z49" s="572"/>
    </row>
    <row r="50" spans="21:26" x14ac:dyDescent="0.2">
      <c r="U50" s="571">
        <v>2006</v>
      </c>
      <c r="V50" s="572">
        <f t="shared" si="23"/>
        <v>5625.1415999999999</v>
      </c>
      <c r="W50" s="572">
        <f t="shared" si="23"/>
        <v>3127.8006</v>
      </c>
      <c r="X50" s="572">
        <f t="shared" si="23"/>
        <v>2496.6410000000001</v>
      </c>
      <c r="Z50" s="572"/>
    </row>
    <row r="51" spans="21:26" x14ac:dyDescent="0.2">
      <c r="U51" s="583">
        <v>2007</v>
      </c>
      <c r="V51" s="572">
        <f t="shared" si="23"/>
        <v>5989.7251999999999</v>
      </c>
      <c r="W51" s="572">
        <f t="shared" si="23"/>
        <v>3145.1412000000005</v>
      </c>
      <c r="X51" s="572">
        <f t="shared" si="23"/>
        <v>2843.884</v>
      </c>
      <c r="Z51" s="572"/>
    </row>
    <row r="52" spans="21:26" x14ac:dyDescent="0.2">
      <c r="U52" s="571">
        <v>2008</v>
      </c>
      <c r="V52" s="572">
        <f t="shared" si="23"/>
        <v>5996.9830000000029</v>
      </c>
      <c r="W52" s="572">
        <f t="shared" si="23"/>
        <v>3152.0380000000018</v>
      </c>
      <c r="X52" s="572">
        <f t="shared" si="23"/>
        <v>2844.2450000000008</v>
      </c>
      <c r="Z52" s="572"/>
    </row>
    <row r="53" spans="21:26" x14ac:dyDescent="0.2">
      <c r="U53" s="571">
        <v>2009</v>
      </c>
      <c r="V53" s="572">
        <f t="shared" si="23"/>
        <v>6723.5160000000024</v>
      </c>
      <c r="W53" s="572">
        <f t="shared" si="23"/>
        <v>3183.1260000000016</v>
      </c>
      <c r="X53" s="572">
        <f t="shared" si="23"/>
        <v>3539.6900000000005</v>
      </c>
      <c r="Z53" s="572"/>
    </row>
    <row r="54" spans="21:26" x14ac:dyDescent="0.2">
      <c r="U54" s="571">
        <v>2010</v>
      </c>
      <c r="V54" s="572">
        <f t="shared" si="23"/>
        <v>7309.1659999999983</v>
      </c>
      <c r="W54" s="572">
        <f t="shared" si="23"/>
        <v>3344.7950000000001</v>
      </c>
      <c r="X54" s="572">
        <f t="shared" si="23"/>
        <v>3963.6709999999989</v>
      </c>
      <c r="Z54" s="572"/>
    </row>
    <row r="55" spans="21:26" x14ac:dyDescent="0.2">
      <c r="U55" s="571">
        <v>2011</v>
      </c>
      <c r="V55" s="572">
        <f t="shared" si="23"/>
        <v>7314.2370000000001</v>
      </c>
      <c r="W55" s="572">
        <f t="shared" si="23"/>
        <v>3357.06</v>
      </c>
      <c r="X55" s="572">
        <f t="shared" si="23"/>
        <v>3956.4770000000003</v>
      </c>
      <c r="Z55" s="572"/>
    </row>
    <row r="56" spans="21:26" x14ac:dyDescent="0.2">
      <c r="U56" s="571">
        <v>2012</v>
      </c>
      <c r="V56" s="572">
        <f t="shared" ref="V56:Y57" si="24">H24</f>
        <v>8267.1709999999985</v>
      </c>
      <c r="W56" s="572">
        <f t="shared" si="24"/>
        <v>3380.829999999999</v>
      </c>
      <c r="X56" s="572">
        <f t="shared" si="24"/>
        <v>4805.6409999999987</v>
      </c>
      <c r="Y56" s="572">
        <f t="shared" si="24"/>
        <v>80</v>
      </c>
      <c r="Z56" s="572"/>
    </row>
    <row r="57" spans="21:26" x14ac:dyDescent="0.2">
      <c r="U57" s="571">
        <v>2013</v>
      </c>
      <c r="V57" s="572">
        <f t="shared" si="24"/>
        <v>9634.6310000000012</v>
      </c>
      <c r="W57" s="572">
        <f t="shared" si="24"/>
        <v>3450.5469999999996</v>
      </c>
      <c r="X57" s="572">
        <f t="shared" si="24"/>
        <v>6103.384</v>
      </c>
      <c r="Y57" s="572">
        <f t="shared" si="24"/>
        <v>80</v>
      </c>
      <c r="Z57" s="572"/>
    </row>
    <row r="58" spans="21:26" x14ac:dyDescent="0.2">
      <c r="U58" s="571">
        <v>2014</v>
      </c>
      <c r="V58" s="572">
        <f t="shared" ref="V58:Z59" si="25">H26</f>
        <v>9739.2480000000014</v>
      </c>
      <c r="W58" s="572">
        <f t="shared" si="25"/>
        <v>3558.2689999999993</v>
      </c>
      <c r="X58" s="572">
        <f t="shared" si="25"/>
        <v>5942.2790000000014</v>
      </c>
      <c r="Y58" s="572">
        <f t="shared" si="25"/>
        <v>96</v>
      </c>
      <c r="Z58" s="572">
        <f t="shared" si="25"/>
        <v>142.69999999999999</v>
      </c>
    </row>
    <row r="59" spans="21:26" x14ac:dyDescent="0.2">
      <c r="U59" s="571">
        <v>2015</v>
      </c>
      <c r="V59" s="572">
        <f t="shared" si="25"/>
        <v>10717.713</v>
      </c>
      <c r="W59" s="572">
        <f t="shared" si="25"/>
        <v>4047.8670000000002</v>
      </c>
      <c r="X59" s="572">
        <f t="shared" si="25"/>
        <v>6334.0459999999994</v>
      </c>
      <c r="Y59" s="572">
        <f t="shared" si="25"/>
        <v>96</v>
      </c>
      <c r="Z59" s="572">
        <f t="shared" si="25"/>
        <v>239.79999999999998</v>
      </c>
    </row>
    <row r="60" spans="21:26" x14ac:dyDescent="0.2">
      <c r="U60" s="571">
        <v>2016</v>
      </c>
      <c r="V60" s="572">
        <f t="shared" ref="V60:Z61" si="26">H28</f>
        <v>13044.474</v>
      </c>
      <c r="W60" s="572">
        <f t="shared" si="26"/>
        <v>5072.4690000000001</v>
      </c>
      <c r="X60" s="572">
        <f t="shared" si="26"/>
        <v>7632.0549999999994</v>
      </c>
      <c r="Y60" s="572">
        <f t="shared" si="26"/>
        <v>100</v>
      </c>
      <c r="Z60" s="572">
        <f t="shared" si="26"/>
        <v>239.95</v>
      </c>
    </row>
    <row r="61" spans="21:26" x14ac:dyDescent="0.2">
      <c r="U61" s="571">
        <v>2017</v>
      </c>
      <c r="V61" s="572">
        <f t="shared" si="26"/>
        <v>13238.762000000013</v>
      </c>
      <c r="W61" s="572">
        <f t="shared" si="26"/>
        <v>5115.7070000000067</v>
      </c>
      <c r="X61" s="572">
        <f t="shared" si="26"/>
        <v>7638.6210000000065</v>
      </c>
      <c r="Y61" s="572">
        <f t="shared" si="26"/>
        <v>244.48400000000001</v>
      </c>
      <c r="Z61" s="572">
        <f t="shared" si="26"/>
        <v>239.95</v>
      </c>
    </row>
    <row r="62" spans="21:26" x14ac:dyDescent="0.2">
      <c r="U62" s="571">
        <v>2018</v>
      </c>
      <c r="V62" s="572">
        <f t="shared" ref="V62:Z63" si="27">H30</f>
        <v>13649.930000000008</v>
      </c>
      <c r="W62" s="572">
        <f t="shared" si="27"/>
        <v>5232.4620000000004</v>
      </c>
      <c r="X62" s="572">
        <f t="shared" si="27"/>
        <v>7760.7340000000077</v>
      </c>
      <c r="Y62" s="572">
        <f t="shared" si="27"/>
        <v>284.48400000000004</v>
      </c>
      <c r="Z62" s="572">
        <f t="shared" si="27"/>
        <v>372.24999999999994</v>
      </c>
    </row>
    <row r="63" spans="21:26" x14ac:dyDescent="0.2">
      <c r="U63" s="571">
        <v>2019</v>
      </c>
      <c r="V63" s="572">
        <f t="shared" si="27"/>
        <v>13650.195000000011</v>
      </c>
      <c r="W63" s="572">
        <f t="shared" si="27"/>
        <v>5266.3020000000024</v>
      </c>
      <c r="X63" s="572">
        <f t="shared" si="27"/>
        <v>7722.6090000000086</v>
      </c>
      <c r="Y63" s="572">
        <f t="shared" si="27"/>
        <v>289.03399999999999</v>
      </c>
      <c r="Z63" s="572">
        <f t="shared" si="27"/>
        <v>372.24999999999994</v>
      </c>
    </row>
    <row r="68" spans="21:24" x14ac:dyDescent="0.2">
      <c r="V68" s="571" t="s">
        <v>47</v>
      </c>
    </row>
    <row r="69" spans="21:24" x14ac:dyDescent="0.2">
      <c r="V69" s="571" t="s">
        <v>0</v>
      </c>
      <c r="W69" s="571" t="s">
        <v>4</v>
      </c>
      <c r="X69" s="571" t="s">
        <v>5</v>
      </c>
    </row>
    <row r="70" spans="21:24" x14ac:dyDescent="0.2">
      <c r="U70" s="571">
        <v>1995</v>
      </c>
      <c r="V70" s="572">
        <f t="shared" ref="V70:V92" si="28">M7</f>
        <v>1276</v>
      </c>
      <c r="W70" s="572">
        <f t="shared" ref="W70:W92" si="29">N7</f>
        <v>289.39999999999998</v>
      </c>
      <c r="X70" s="572">
        <f t="shared" ref="X70:X92" si="30">O7</f>
        <v>986.59999999999991</v>
      </c>
    </row>
    <row r="71" spans="21:24" x14ac:dyDescent="0.2">
      <c r="U71" s="571">
        <v>1996</v>
      </c>
      <c r="V71" s="572">
        <f t="shared" si="28"/>
        <v>1309.7239999999999</v>
      </c>
      <c r="W71" s="572">
        <f t="shared" si="29"/>
        <v>292.54000000000002</v>
      </c>
      <c r="X71" s="572">
        <f t="shared" si="30"/>
        <v>1017.184</v>
      </c>
    </row>
    <row r="72" spans="21:24" x14ac:dyDescent="0.2">
      <c r="U72" s="571">
        <v>1997</v>
      </c>
      <c r="V72" s="572">
        <f t="shared" si="28"/>
        <v>867.47699999999998</v>
      </c>
      <c r="W72" s="572">
        <f t="shared" si="29"/>
        <v>101.47499999999999</v>
      </c>
      <c r="X72" s="572">
        <f t="shared" si="30"/>
        <v>766.00199999999995</v>
      </c>
    </row>
    <row r="73" spans="21:24" x14ac:dyDescent="0.2">
      <c r="U73" s="571">
        <v>1998</v>
      </c>
      <c r="V73" s="572">
        <f t="shared" si="28"/>
        <v>883.01200000000006</v>
      </c>
      <c r="W73" s="572">
        <f t="shared" si="29"/>
        <v>104.645</v>
      </c>
      <c r="X73" s="572">
        <f t="shared" si="30"/>
        <v>778.36700000000008</v>
      </c>
    </row>
    <row r="74" spans="21:24" x14ac:dyDescent="0.2">
      <c r="U74" s="571">
        <v>1999</v>
      </c>
      <c r="V74" s="572">
        <f t="shared" si="28"/>
        <v>914.18499999999995</v>
      </c>
      <c r="W74" s="572">
        <f t="shared" si="29"/>
        <v>86.150999999999982</v>
      </c>
      <c r="X74" s="572">
        <f t="shared" si="30"/>
        <v>828.03399999999999</v>
      </c>
    </row>
    <row r="75" spans="21:24" x14ac:dyDescent="0.2">
      <c r="U75" s="571">
        <v>2000</v>
      </c>
      <c r="V75" s="572">
        <f t="shared" si="28"/>
        <v>917.33800000000019</v>
      </c>
      <c r="W75" s="572">
        <f t="shared" si="29"/>
        <v>77.564999999999998</v>
      </c>
      <c r="X75" s="572">
        <f t="shared" si="30"/>
        <v>839.77300000000014</v>
      </c>
    </row>
    <row r="76" spans="21:24" x14ac:dyDescent="0.2">
      <c r="U76" s="571">
        <v>2001</v>
      </c>
      <c r="V76" s="572">
        <f t="shared" si="28"/>
        <v>855.87900000000002</v>
      </c>
      <c r="W76" s="572">
        <f t="shared" si="29"/>
        <v>76.894999999999996</v>
      </c>
      <c r="X76" s="572">
        <f t="shared" si="30"/>
        <v>778.98400000000004</v>
      </c>
    </row>
    <row r="77" spans="21:24" x14ac:dyDescent="0.2">
      <c r="U77" s="571">
        <v>2002</v>
      </c>
      <c r="V77" s="572">
        <f t="shared" si="28"/>
        <v>867.48199999999974</v>
      </c>
      <c r="W77" s="572">
        <f t="shared" si="29"/>
        <v>78.868999999999971</v>
      </c>
      <c r="X77" s="572">
        <f t="shared" si="30"/>
        <v>788.61299999999983</v>
      </c>
    </row>
    <row r="78" spans="21:24" x14ac:dyDescent="0.2">
      <c r="U78" s="571">
        <v>2003</v>
      </c>
      <c r="V78" s="572">
        <f t="shared" si="28"/>
        <v>874.96</v>
      </c>
      <c r="W78" s="572">
        <f t="shared" si="29"/>
        <v>85.48599999999999</v>
      </c>
      <c r="X78" s="572">
        <f t="shared" si="30"/>
        <v>789.47400000000005</v>
      </c>
    </row>
    <row r="79" spans="21:24" x14ac:dyDescent="0.2">
      <c r="U79" s="571">
        <v>2004</v>
      </c>
      <c r="V79" s="572">
        <f t="shared" si="28"/>
        <v>920.29700000000003</v>
      </c>
      <c r="W79" s="572">
        <f t="shared" si="29"/>
        <v>86.807999999999964</v>
      </c>
      <c r="X79" s="572">
        <f t="shared" si="30"/>
        <v>833.48900000000003</v>
      </c>
    </row>
    <row r="80" spans="21:24" x14ac:dyDescent="0.2">
      <c r="U80" s="571">
        <v>2005</v>
      </c>
      <c r="V80" s="572">
        <f t="shared" si="28"/>
        <v>979.89199999999994</v>
      </c>
      <c r="W80" s="572">
        <f t="shared" si="29"/>
        <v>87.861999999999981</v>
      </c>
      <c r="X80" s="572">
        <f t="shared" si="30"/>
        <v>892.03</v>
      </c>
    </row>
    <row r="81" spans="21:24" x14ac:dyDescent="0.2">
      <c r="U81" s="571">
        <v>2006</v>
      </c>
      <c r="V81" s="572">
        <f t="shared" si="28"/>
        <v>1033.0019999999997</v>
      </c>
      <c r="W81" s="572">
        <f t="shared" si="29"/>
        <v>88.201999999999998</v>
      </c>
      <c r="X81" s="572">
        <f t="shared" si="30"/>
        <v>944.79999999999973</v>
      </c>
    </row>
    <row r="82" spans="21:24" x14ac:dyDescent="0.2">
      <c r="U82" s="583">
        <v>2007</v>
      </c>
      <c r="V82" s="572">
        <f t="shared" si="28"/>
        <v>1037.7919999999999</v>
      </c>
      <c r="W82" s="572">
        <f t="shared" si="29"/>
        <v>88.456999999999994</v>
      </c>
      <c r="X82" s="572">
        <f t="shared" si="30"/>
        <v>949.33499999999992</v>
      </c>
    </row>
    <row r="83" spans="21:24" x14ac:dyDescent="0.2">
      <c r="U83" s="571">
        <v>2008</v>
      </c>
      <c r="V83" s="572">
        <f t="shared" si="28"/>
        <v>1160.9520000000007</v>
      </c>
      <c r="W83" s="572">
        <f t="shared" si="29"/>
        <v>89.987999999999971</v>
      </c>
      <c r="X83" s="572">
        <f t="shared" si="30"/>
        <v>1070.9640000000006</v>
      </c>
    </row>
    <row r="84" spans="21:24" x14ac:dyDescent="0.2">
      <c r="U84" s="571">
        <v>2009</v>
      </c>
      <c r="V84" s="572">
        <f t="shared" si="28"/>
        <v>1262.9800000000002</v>
      </c>
      <c r="W84" s="572">
        <f t="shared" si="29"/>
        <v>94.337999999999994</v>
      </c>
      <c r="X84" s="572">
        <f t="shared" si="30"/>
        <v>1168.6420000000003</v>
      </c>
    </row>
    <row r="85" spans="21:24" x14ac:dyDescent="0.2">
      <c r="U85" s="571">
        <v>2010</v>
      </c>
      <c r="V85" s="572">
        <f t="shared" si="28"/>
        <v>1303.3909999999996</v>
      </c>
      <c r="W85" s="572">
        <f t="shared" si="29"/>
        <v>92.807000000000016</v>
      </c>
      <c r="X85" s="572">
        <f t="shared" si="30"/>
        <v>1210.5839999999996</v>
      </c>
    </row>
    <row r="86" spans="21:24" x14ac:dyDescent="0.2">
      <c r="U86" s="571">
        <v>2011</v>
      </c>
      <c r="V86" s="572">
        <f t="shared" si="28"/>
        <v>1377.087</v>
      </c>
      <c r="W86" s="572">
        <f t="shared" si="29"/>
        <v>93.893000000000001</v>
      </c>
      <c r="X86" s="572">
        <f t="shared" si="30"/>
        <v>1283.194</v>
      </c>
    </row>
    <row r="87" spans="21:24" x14ac:dyDescent="0.2">
      <c r="U87" s="571">
        <v>2012</v>
      </c>
      <c r="V87" s="572">
        <f t="shared" si="28"/>
        <v>1431.9260000000006</v>
      </c>
      <c r="W87" s="572">
        <f t="shared" si="29"/>
        <v>103.14399999999998</v>
      </c>
      <c r="X87" s="572">
        <f t="shared" si="30"/>
        <v>1328.7820000000006</v>
      </c>
    </row>
    <row r="88" spans="21:24" x14ac:dyDescent="0.2">
      <c r="U88" s="571">
        <v>2013</v>
      </c>
      <c r="V88" s="572">
        <f t="shared" si="28"/>
        <v>1416.088</v>
      </c>
      <c r="W88" s="572">
        <f t="shared" si="29"/>
        <v>105.63500000000002</v>
      </c>
      <c r="X88" s="572">
        <f t="shared" si="30"/>
        <v>1310.453</v>
      </c>
    </row>
    <row r="89" spans="21:24" x14ac:dyDescent="0.2">
      <c r="U89" s="571">
        <v>2014</v>
      </c>
      <c r="V89" s="572">
        <f t="shared" si="28"/>
        <v>1463.3709999999996</v>
      </c>
      <c r="W89" s="572">
        <f t="shared" si="29"/>
        <v>103.596</v>
      </c>
      <c r="X89" s="572">
        <f t="shared" si="30"/>
        <v>1359.7749999999996</v>
      </c>
    </row>
    <row r="90" spans="21:24" x14ac:dyDescent="0.2">
      <c r="U90" s="571">
        <v>2015</v>
      </c>
      <c r="V90" s="572">
        <f t="shared" si="28"/>
        <v>1470.9139999999998</v>
      </c>
      <c r="W90" s="572">
        <f t="shared" si="29"/>
        <v>103.97599999999998</v>
      </c>
      <c r="X90" s="572">
        <f t="shared" si="30"/>
        <v>1366.9379999999999</v>
      </c>
    </row>
    <row r="91" spans="21:24" x14ac:dyDescent="0.2">
      <c r="U91" s="571">
        <v>2016</v>
      </c>
      <c r="V91" s="572">
        <f t="shared" si="28"/>
        <v>1473.2409999999998</v>
      </c>
      <c r="W91" s="572">
        <f t="shared" si="29"/>
        <v>116.776</v>
      </c>
      <c r="X91" s="572">
        <f t="shared" si="30"/>
        <v>1356.4649999999997</v>
      </c>
    </row>
    <row r="92" spans="21:24" x14ac:dyDescent="0.2">
      <c r="U92" s="571">
        <v>2017</v>
      </c>
      <c r="V92" s="572">
        <f t="shared" si="28"/>
        <v>1496.0089999999998</v>
      </c>
      <c r="W92" s="572">
        <f t="shared" si="29"/>
        <v>130.22299999999998</v>
      </c>
      <c r="X92" s="572">
        <f t="shared" si="30"/>
        <v>1365.7859999999998</v>
      </c>
    </row>
    <row r="93" spans="21:24" x14ac:dyDescent="0.2">
      <c r="U93" s="571">
        <v>2018</v>
      </c>
      <c r="V93" s="572">
        <f t="shared" ref="V93:X94" si="31">M30</f>
        <v>1494.6559999999999</v>
      </c>
      <c r="W93" s="572">
        <f t="shared" si="31"/>
        <v>130.90299999999999</v>
      </c>
      <c r="X93" s="572">
        <f t="shared" si="31"/>
        <v>1363.7529999999999</v>
      </c>
    </row>
    <row r="94" spans="21:24" x14ac:dyDescent="0.2">
      <c r="U94" s="571">
        <v>2019</v>
      </c>
      <c r="V94" s="572">
        <f t="shared" si="31"/>
        <v>1472.6450000000007</v>
      </c>
      <c r="W94" s="572">
        <f t="shared" si="31"/>
        <v>130.90299999999999</v>
      </c>
      <c r="X94" s="572">
        <f t="shared" si="31"/>
        <v>1341.7420000000006</v>
      </c>
    </row>
  </sheetData>
  <mergeCells count="5">
    <mergeCell ref="M4:O4"/>
    <mergeCell ref="D4:G4"/>
    <mergeCell ref="H4:L4"/>
    <mergeCell ref="B4:B5"/>
    <mergeCell ref="C4:C5"/>
  </mergeCells>
  <printOptions horizontalCentered="1" verticalCentered="1"/>
  <pageMargins left="0.78740157480314965" right="0.59055118110236227" top="0.78740157480314965" bottom="0.59055118110236227" header="0" footer="0"/>
  <pageSetup paperSize="9" scale="6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3"/>
  <sheetViews>
    <sheetView view="pageBreakPreview" zoomScale="90" zoomScaleNormal="80" zoomScaleSheetLayoutView="90" workbookViewId="0">
      <selection activeCell="M40" sqref="M40"/>
    </sheetView>
  </sheetViews>
  <sheetFormatPr baseColWidth="10" defaultRowHeight="12.75" x14ac:dyDescent="0.2"/>
  <cols>
    <col min="1" max="1" width="2.85546875" customWidth="1"/>
    <col min="2" max="2" width="23" customWidth="1"/>
    <col min="3" max="6" width="19.7109375" customWidth="1"/>
    <col min="7" max="7" width="20.5703125" customWidth="1"/>
    <col min="8" max="8" width="3" style="356" customWidth="1"/>
    <col min="9" max="9" width="10.7109375" customWidth="1"/>
    <col min="10" max="10" width="10.7109375" style="411" customWidth="1"/>
    <col min="11" max="11" width="12" style="411" customWidth="1"/>
    <col min="12" max="12" width="11.85546875" style="411" customWidth="1"/>
    <col min="13" max="13" width="13.140625" style="411" customWidth="1"/>
    <col min="14" max="14" width="16.85546875" style="411" customWidth="1"/>
    <col min="18" max="18" width="12.5703125" bestFit="1" customWidth="1"/>
  </cols>
  <sheetData>
    <row r="1" spans="1:20" ht="15.75" x14ac:dyDescent="0.25">
      <c r="A1" s="590" t="s">
        <v>215</v>
      </c>
      <c r="B1" s="356"/>
      <c r="C1" s="681"/>
      <c r="D1" s="681"/>
      <c r="E1" s="681"/>
      <c r="F1" s="681"/>
      <c r="G1" s="681"/>
      <c r="I1" s="8"/>
      <c r="J1" s="412"/>
      <c r="K1" s="412"/>
      <c r="L1" s="412"/>
      <c r="M1" s="412"/>
      <c r="N1" s="412"/>
      <c r="O1" s="8"/>
      <c r="P1" s="8"/>
      <c r="Q1" s="8"/>
      <c r="R1" s="8"/>
      <c r="S1" s="8"/>
      <c r="T1" s="8"/>
    </row>
    <row r="2" spans="1:20" ht="15" x14ac:dyDescent="0.25">
      <c r="A2" s="356"/>
      <c r="B2" s="682"/>
      <c r="C2" s="682"/>
      <c r="D2" s="682"/>
      <c r="E2" s="682"/>
      <c r="F2" s="682"/>
      <c r="G2" s="682"/>
      <c r="I2" s="3"/>
      <c r="J2" s="413"/>
      <c r="K2" s="413"/>
      <c r="L2" s="413"/>
      <c r="M2" s="413"/>
      <c r="N2" s="413"/>
      <c r="O2" s="3"/>
      <c r="P2" s="3"/>
      <c r="Q2" s="3"/>
      <c r="R2" s="3"/>
      <c r="S2" s="20"/>
      <c r="T2" s="12"/>
    </row>
    <row r="3" spans="1:20" ht="13.5" thickBot="1" x14ac:dyDescent="0.25">
      <c r="A3" s="356"/>
      <c r="B3" s="356"/>
      <c r="C3" s="356"/>
      <c r="D3" s="356"/>
      <c r="E3" s="356"/>
      <c r="F3" s="356"/>
      <c r="G3" s="356"/>
      <c r="I3" s="3"/>
      <c r="J3" s="413"/>
      <c r="K3" s="413"/>
      <c r="L3" s="413"/>
      <c r="M3" s="413"/>
      <c r="N3" s="413"/>
      <c r="O3" s="3"/>
      <c r="P3" s="3"/>
      <c r="Q3" s="3"/>
      <c r="R3" s="3"/>
      <c r="S3" s="20"/>
      <c r="T3" s="12"/>
    </row>
    <row r="4" spans="1:20" s="7" customFormat="1" ht="17.25" customHeight="1" x14ac:dyDescent="0.2">
      <c r="A4" s="965"/>
      <c r="B4" s="1300" t="s">
        <v>18</v>
      </c>
      <c r="C4" s="1302" t="s">
        <v>51</v>
      </c>
      <c r="D4" s="1303"/>
      <c r="E4" s="1303"/>
      <c r="F4" s="1303"/>
      <c r="G4" s="1304"/>
      <c r="H4" s="965"/>
      <c r="I4" s="1107"/>
      <c r="J4" s="1108"/>
      <c r="K4" s="1108"/>
      <c r="L4" s="1108"/>
      <c r="M4" s="1108"/>
      <c r="N4" s="1108"/>
      <c r="O4" s="1107"/>
      <c r="P4" s="1107"/>
      <c r="Q4" s="1107"/>
      <c r="R4" s="1107"/>
      <c r="S4" s="1109"/>
      <c r="T4" s="1110"/>
    </row>
    <row r="5" spans="1:20" s="7" customFormat="1" ht="17.25" customHeight="1" x14ac:dyDescent="0.2">
      <c r="A5" s="965"/>
      <c r="B5" s="1301"/>
      <c r="C5" s="1182" t="s">
        <v>40</v>
      </c>
      <c r="D5" s="1180" t="s">
        <v>41</v>
      </c>
      <c r="E5" s="1180" t="s">
        <v>42</v>
      </c>
      <c r="F5" s="1185" t="s">
        <v>43</v>
      </c>
      <c r="G5" s="1186" t="s">
        <v>0</v>
      </c>
      <c r="H5" s="1111"/>
      <c r="I5" s="1107"/>
      <c r="J5" s="1108"/>
      <c r="K5" s="1108"/>
      <c r="L5" s="1108"/>
      <c r="M5" s="1108"/>
      <c r="N5" s="1108"/>
      <c r="O5" s="1107"/>
      <c r="P5" s="1107"/>
      <c r="Q5" s="1107"/>
      <c r="R5" s="1107"/>
      <c r="S5" s="1109"/>
      <c r="T5" s="1110"/>
    </row>
    <row r="6" spans="1:20" x14ac:dyDescent="0.2">
      <c r="A6" s="356"/>
      <c r="B6" s="736"/>
      <c r="C6" s="733"/>
      <c r="D6" s="734"/>
      <c r="E6" s="734"/>
      <c r="F6" s="740"/>
      <c r="G6" s="735"/>
      <c r="H6" s="686"/>
      <c r="I6" s="3"/>
      <c r="J6" s="413"/>
      <c r="K6" s="413"/>
      <c r="L6" s="413"/>
      <c r="M6" s="413"/>
      <c r="N6" s="413"/>
      <c r="O6" s="3"/>
      <c r="P6" s="3"/>
      <c r="Q6" s="3"/>
      <c r="R6" s="3"/>
      <c r="S6" s="20"/>
      <c r="T6" s="12"/>
    </row>
    <row r="7" spans="1:20" x14ac:dyDescent="0.2">
      <c r="A7" s="356"/>
      <c r="B7" s="61">
        <v>1995</v>
      </c>
      <c r="C7" s="750">
        <v>229035.54403785348</v>
      </c>
      <c r="D7" s="751">
        <v>200811.42160772084</v>
      </c>
      <c r="E7" s="751">
        <v>355896.20422925544</v>
      </c>
      <c r="F7" s="752">
        <v>40932.831814912512</v>
      </c>
      <c r="G7" s="753">
        <f>+SUM(C7:F7)</f>
        <v>826676.0016897422</v>
      </c>
      <c r="H7" s="686"/>
      <c r="I7" s="23"/>
    </row>
    <row r="8" spans="1:20" x14ac:dyDescent="0.2">
      <c r="A8" s="356"/>
      <c r="B8" s="683">
        <v>1996</v>
      </c>
      <c r="C8" s="743">
        <v>258447.72612741796</v>
      </c>
      <c r="D8" s="744">
        <v>213222.6714817289</v>
      </c>
      <c r="E8" s="744">
        <v>372677.77599551878</v>
      </c>
      <c r="F8" s="745">
        <v>49022.221536151759</v>
      </c>
      <c r="G8" s="746">
        <f>+SUM(C8:F8)</f>
        <v>893370.39514081739</v>
      </c>
      <c r="H8" s="686"/>
      <c r="I8" s="23"/>
    </row>
    <row r="9" spans="1:20" ht="12.75" customHeight="1" x14ac:dyDescent="0.2">
      <c r="A9" s="356"/>
      <c r="B9" s="61">
        <v>1997</v>
      </c>
      <c r="C9" s="750">
        <v>355516.10470524785</v>
      </c>
      <c r="D9" s="751">
        <v>221239.00181128312</v>
      </c>
      <c r="E9" s="751">
        <v>392117.28436542355</v>
      </c>
      <c r="F9" s="752">
        <v>50665.14573498242</v>
      </c>
      <c r="G9" s="753">
        <f t="shared" ref="G9:G31" si="0">+SUM(C9:F9)</f>
        <v>1019537.5366169369</v>
      </c>
      <c r="H9" s="686"/>
      <c r="I9" s="23"/>
      <c r="J9" s="571"/>
      <c r="K9" s="571" t="s">
        <v>40</v>
      </c>
      <c r="L9" s="571" t="s">
        <v>41</v>
      </c>
      <c r="M9" s="571" t="s">
        <v>42</v>
      </c>
      <c r="N9" s="571" t="s">
        <v>254</v>
      </c>
    </row>
    <row r="10" spans="1:20" x14ac:dyDescent="0.2">
      <c r="A10" s="356"/>
      <c r="B10" s="683">
        <v>1998</v>
      </c>
      <c r="C10" s="743">
        <v>405108.58810399019</v>
      </c>
      <c r="D10" s="744">
        <v>175416.57536486135</v>
      </c>
      <c r="E10" s="744">
        <v>362781.21835892892</v>
      </c>
      <c r="F10" s="745">
        <v>44838.588717470884</v>
      </c>
      <c r="G10" s="746">
        <f t="shared" si="0"/>
        <v>988144.97054525127</v>
      </c>
      <c r="H10" s="686"/>
      <c r="I10" s="23"/>
      <c r="J10" s="738">
        <v>1995</v>
      </c>
      <c r="K10" s="737">
        <f>+C7</f>
        <v>229035.54403785348</v>
      </c>
      <c r="L10" s="737">
        <f>+D7</f>
        <v>200811.42160772084</v>
      </c>
      <c r="M10" s="737">
        <f>+E7</f>
        <v>355896.20422925544</v>
      </c>
      <c r="N10" s="737">
        <f>+F7</f>
        <v>40932.831814912512</v>
      </c>
    </row>
    <row r="11" spans="1:20" x14ac:dyDescent="0.2">
      <c r="A11" s="356"/>
      <c r="B11" s="61">
        <v>1999</v>
      </c>
      <c r="C11" s="750">
        <v>419536.44763941609</v>
      </c>
      <c r="D11" s="751">
        <v>170042.7141646184</v>
      </c>
      <c r="E11" s="751">
        <v>358196.54564842128</v>
      </c>
      <c r="F11" s="752">
        <v>44183.660814274546</v>
      </c>
      <c r="G11" s="753">
        <f t="shared" si="0"/>
        <v>991959.36826673034</v>
      </c>
      <c r="H11" s="686"/>
      <c r="I11" s="23"/>
      <c r="J11" s="738">
        <v>1996</v>
      </c>
      <c r="K11" s="737">
        <f t="shared" ref="K11:K29" si="1">+C8</f>
        <v>258447.72612741796</v>
      </c>
      <c r="L11" s="737">
        <f t="shared" ref="L11:L29" si="2">+D8</f>
        <v>213222.6714817289</v>
      </c>
      <c r="M11" s="737">
        <f t="shared" ref="M11:M29" si="3">+E8</f>
        <v>372677.77599551878</v>
      </c>
      <c r="N11" s="737">
        <f t="shared" ref="N11:N29" si="4">+F8</f>
        <v>49022.221536151759</v>
      </c>
    </row>
    <row r="12" spans="1:20" x14ac:dyDescent="0.2">
      <c r="A12" s="356"/>
      <c r="B12" s="683">
        <v>2000</v>
      </c>
      <c r="C12" s="743">
        <v>470947.31940472691</v>
      </c>
      <c r="D12" s="744">
        <v>197172.92008066195</v>
      </c>
      <c r="E12" s="744">
        <v>396689.58182878082</v>
      </c>
      <c r="F12" s="745">
        <v>48259.678954052164</v>
      </c>
      <c r="G12" s="746">
        <f t="shared" si="0"/>
        <v>1113069.5002682218</v>
      </c>
      <c r="H12" s="686"/>
      <c r="I12" s="23"/>
      <c r="J12" s="738">
        <v>1997</v>
      </c>
      <c r="K12" s="737">
        <f t="shared" si="1"/>
        <v>355516.10470524785</v>
      </c>
      <c r="L12" s="737">
        <f t="shared" si="2"/>
        <v>221239.00181128312</v>
      </c>
      <c r="M12" s="737">
        <f t="shared" si="3"/>
        <v>392117.28436542355</v>
      </c>
      <c r="N12" s="737">
        <f t="shared" si="4"/>
        <v>50665.14573498242</v>
      </c>
    </row>
    <row r="13" spans="1:20" x14ac:dyDescent="0.2">
      <c r="A13" s="356"/>
      <c r="B13" s="61">
        <v>2001</v>
      </c>
      <c r="C13" s="750">
        <v>479868.23409751739</v>
      </c>
      <c r="D13" s="751">
        <v>202560.16293720153</v>
      </c>
      <c r="E13" s="751">
        <v>406024.2542681364</v>
      </c>
      <c r="F13" s="752">
        <v>50905.862535693137</v>
      </c>
      <c r="G13" s="753">
        <f t="shared" si="0"/>
        <v>1139358.5138385484</v>
      </c>
      <c r="H13" s="686"/>
      <c r="I13" s="23"/>
      <c r="J13" s="738">
        <v>1998</v>
      </c>
      <c r="K13" s="737">
        <f t="shared" si="1"/>
        <v>405108.58810399019</v>
      </c>
      <c r="L13" s="737">
        <f t="shared" si="2"/>
        <v>175416.57536486135</v>
      </c>
      <c r="M13" s="737">
        <f t="shared" si="3"/>
        <v>362781.21835892892</v>
      </c>
      <c r="N13" s="737">
        <f t="shared" si="4"/>
        <v>44838.588717470884</v>
      </c>
    </row>
    <row r="14" spans="1:20" x14ac:dyDescent="0.2">
      <c r="A14" s="356"/>
      <c r="B14" s="683">
        <v>2002</v>
      </c>
      <c r="C14" s="743">
        <v>488098.27845652425</v>
      </c>
      <c r="D14" s="744">
        <v>223817.53067643259</v>
      </c>
      <c r="E14" s="744">
        <v>400798.0547307923</v>
      </c>
      <c r="F14" s="745">
        <v>44353.296403984248</v>
      </c>
      <c r="G14" s="746">
        <f t="shared" si="0"/>
        <v>1157067.1602677335</v>
      </c>
      <c r="H14" s="686"/>
      <c r="I14" s="23"/>
      <c r="J14" s="738">
        <v>1999</v>
      </c>
      <c r="K14" s="737">
        <f t="shared" si="1"/>
        <v>419536.44763941609</v>
      </c>
      <c r="L14" s="737">
        <f t="shared" si="2"/>
        <v>170042.7141646184</v>
      </c>
      <c r="M14" s="737">
        <f t="shared" si="3"/>
        <v>358196.54564842128</v>
      </c>
      <c r="N14" s="737">
        <f t="shared" si="4"/>
        <v>44183.660814274546</v>
      </c>
    </row>
    <row r="15" spans="1:20" x14ac:dyDescent="0.2">
      <c r="A15" s="356"/>
      <c r="B15" s="61">
        <v>2003</v>
      </c>
      <c r="C15" s="750">
        <v>506532.8631156623</v>
      </c>
      <c r="D15" s="751">
        <v>238398.63946284784</v>
      </c>
      <c r="E15" s="751">
        <v>427974.96816134849</v>
      </c>
      <c r="F15" s="752">
        <v>44303.672929736647</v>
      </c>
      <c r="G15" s="753">
        <f t="shared" si="0"/>
        <v>1217210.1436695952</v>
      </c>
      <c r="H15" s="686"/>
      <c r="I15" s="23"/>
      <c r="J15" s="738">
        <v>2000</v>
      </c>
      <c r="K15" s="737">
        <f t="shared" si="1"/>
        <v>470947.31940472691</v>
      </c>
      <c r="L15" s="737">
        <f t="shared" si="2"/>
        <v>197172.92008066195</v>
      </c>
      <c r="M15" s="737">
        <f t="shared" si="3"/>
        <v>396689.58182878082</v>
      </c>
      <c r="N15" s="737">
        <f t="shared" si="4"/>
        <v>48259.678954052164</v>
      </c>
    </row>
    <row r="16" spans="1:20" x14ac:dyDescent="0.2">
      <c r="A16" s="356"/>
      <c r="B16" s="683">
        <v>2004</v>
      </c>
      <c r="C16" s="743">
        <v>596267.04432617116</v>
      </c>
      <c r="D16" s="744">
        <v>257743.9102776775</v>
      </c>
      <c r="E16" s="744">
        <v>470011.6333799953</v>
      </c>
      <c r="F16" s="745">
        <v>58277.423826264436</v>
      </c>
      <c r="G16" s="746">
        <f t="shared" si="0"/>
        <v>1382300.0118101083</v>
      </c>
      <c r="H16" s="686"/>
      <c r="I16" s="23"/>
      <c r="J16" s="738">
        <v>2001</v>
      </c>
      <c r="K16" s="737">
        <f t="shared" si="1"/>
        <v>479868.23409751739</v>
      </c>
      <c r="L16" s="737">
        <f t="shared" si="2"/>
        <v>202560.16293720153</v>
      </c>
      <c r="M16" s="737">
        <f t="shared" si="3"/>
        <v>406024.2542681364</v>
      </c>
      <c r="N16" s="737">
        <f t="shared" si="4"/>
        <v>50905.862535693137</v>
      </c>
    </row>
    <row r="17" spans="1:14" x14ac:dyDescent="0.2">
      <c r="A17" s="356"/>
      <c r="B17" s="61">
        <v>2005</v>
      </c>
      <c r="C17" s="750">
        <v>669716.05900215998</v>
      </c>
      <c r="D17" s="751">
        <v>300420.25850854366</v>
      </c>
      <c r="E17" s="751">
        <v>544065.3677454039</v>
      </c>
      <c r="F17" s="752">
        <v>65007.585840271378</v>
      </c>
      <c r="G17" s="753">
        <f t="shared" si="0"/>
        <v>1579209.2710963788</v>
      </c>
      <c r="H17" s="686"/>
      <c r="I17" s="23"/>
      <c r="J17" s="738">
        <v>2002</v>
      </c>
      <c r="K17" s="737">
        <f t="shared" si="1"/>
        <v>488098.27845652425</v>
      </c>
      <c r="L17" s="737">
        <f t="shared" si="2"/>
        <v>223817.53067643259</v>
      </c>
      <c r="M17" s="737">
        <f t="shared" si="3"/>
        <v>400798.0547307923</v>
      </c>
      <c r="N17" s="737">
        <f t="shared" si="4"/>
        <v>44353.296403984248</v>
      </c>
    </row>
    <row r="18" spans="1:14" x14ac:dyDescent="0.2">
      <c r="A18" s="356"/>
      <c r="B18" s="683">
        <v>2006</v>
      </c>
      <c r="C18" s="743">
        <v>715993.84226713481</v>
      </c>
      <c r="D18" s="744">
        <v>317868.59748703917</v>
      </c>
      <c r="E18" s="744">
        <v>579597.98697812622</v>
      </c>
      <c r="F18" s="745">
        <v>69708.477573607859</v>
      </c>
      <c r="G18" s="746">
        <f t="shared" si="0"/>
        <v>1683168.9043059081</v>
      </c>
      <c r="H18" s="686"/>
      <c r="I18" s="23"/>
      <c r="J18" s="738">
        <v>2003</v>
      </c>
      <c r="K18" s="737">
        <f t="shared" si="1"/>
        <v>506532.8631156623</v>
      </c>
      <c r="L18" s="737">
        <f t="shared" si="2"/>
        <v>238398.63946284784</v>
      </c>
      <c r="M18" s="737">
        <f t="shared" si="3"/>
        <v>427974.96816134849</v>
      </c>
      <c r="N18" s="737">
        <f t="shared" si="4"/>
        <v>44303.672929736647</v>
      </c>
    </row>
    <row r="19" spans="1:14" x14ac:dyDescent="0.2">
      <c r="A19" s="356"/>
      <c r="B19" s="61">
        <v>2007</v>
      </c>
      <c r="C19" s="750">
        <v>794759.59169783501</v>
      </c>
      <c r="D19" s="751">
        <v>340153.50271927071</v>
      </c>
      <c r="E19" s="751">
        <v>628258.89821243391</v>
      </c>
      <c r="F19" s="752">
        <v>67459.670804701891</v>
      </c>
      <c r="G19" s="753">
        <f t="shared" si="0"/>
        <v>1830631.6634342417</v>
      </c>
      <c r="H19" s="686"/>
      <c r="I19" s="23"/>
      <c r="J19" s="738">
        <v>2004</v>
      </c>
      <c r="K19" s="737">
        <f t="shared" si="1"/>
        <v>596267.04432617116</v>
      </c>
      <c r="L19" s="737">
        <f t="shared" si="2"/>
        <v>257743.9102776775</v>
      </c>
      <c r="M19" s="737">
        <f t="shared" si="3"/>
        <v>470011.6333799953</v>
      </c>
      <c r="N19" s="737">
        <f t="shared" si="4"/>
        <v>58277.423826264436</v>
      </c>
    </row>
    <row r="20" spans="1:14" x14ac:dyDescent="0.2">
      <c r="A20" s="356"/>
      <c r="B20" s="683">
        <v>2008</v>
      </c>
      <c r="C20" s="743">
        <v>1027831.8916520025</v>
      </c>
      <c r="D20" s="744">
        <v>399555.0703387963</v>
      </c>
      <c r="E20" s="744">
        <v>716691.01010196272</v>
      </c>
      <c r="F20" s="745">
        <v>72022.001090604914</v>
      </c>
      <c r="G20" s="746">
        <f t="shared" si="0"/>
        <v>2216099.9731833665</v>
      </c>
      <c r="H20" s="686"/>
      <c r="I20" s="23"/>
      <c r="J20" s="738">
        <v>2005</v>
      </c>
      <c r="K20" s="737">
        <f t="shared" si="1"/>
        <v>669716.05900215998</v>
      </c>
      <c r="L20" s="737">
        <f t="shared" si="2"/>
        <v>300420.25850854366</v>
      </c>
      <c r="M20" s="737">
        <f t="shared" si="3"/>
        <v>544065.3677454039</v>
      </c>
      <c r="N20" s="737">
        <f t="shared" si="4"/>
        <v>65007.585840271378</v>
      </c>
    </row>
    <row r="21" spans="1:14" x14ac:dyDescent="0.2">
      <c r="A21" s="356"/>
      <c r="B21" s="61">
        <v>2009</v>
      </c>
      <c r="C21" s="750">
        <v>910151.82885370869</v>
      </c>
      <c r="D21" s="751">
        <v>454550.76665939082</v>
      </c>
      <c r="E21" s="751">
        <v>792475.92957778438</v>
      </c>
      <c r="F21" s="752">
        <v>78879.628738922736</v>
      </c>
      <c r="G21" s="753">
        <f t="shared" si="0"/>
        <v>2236058.1538298065</v>
      </c>
      <c r="H21" s="686"/>
      <c r="I21" s="24"/>
      <c r="J21" s="739">
        <v>2006</v>
      </c>
      <c r="K21" s="737">
        <f t="shared" si="1"/>
        <v>715993.84226713481</v>
      </c>
      <c r="L21" s="737">
        <f t="shared" si="2"/>
        <v>317868.59748703917</v>
      </c>
      <c r="M21" s="737">
        <f t="shared" si="3"/>
        <v>579597.98697812622</v>
      </c>
      <c r="N21" s="737">
        <f t="shared" si="4"/>
        <v>69708.477573607859</v>
      </c>
    </row>
    <row r="22" spans="1:14" x14ac:dyDescent="0.2">
      <c r="A22" s="356"/>
      <c r="B22" s="683">
        <v>2010</v>
      </c>
      <c r="C22" s="743">
        <v>971594.08601682109</v>
      </c>
      <c r="D22" s="744">
        <v>526340.05433409393</v>
      </c>
      <c r="E22" s="744">
        <v>864962.42369105283</v>
      </c>
      <c r="F22" s="745">
        <v>85638.464160990639</v>
      </c>
      <c r="G22" s="746">
        <f t="shared" si="0"/>
        <v>2448535.0282029584</v>
      </c>
      <c r="H22" s="686"/>
      <c r="I22" s="24"/>
      <c r="J22" s="739">
        <v>2007</v>
      </c>
      <c r="K22" s="737">
        <f t="shared" si="1"/>
        <v>794759.59169783501</v>
      </c>
      <c r="L22" s="737">
        <f t="shared" si="2"/>
        <v>340153.50271927071</v>
      </c>
      <c r="M22" s="737">
        <f t="shared" si="3"/>
        <v>628258.89821243391</v>
      </c>
      <c r="N22" s="737">
        <f t="shared" si="4"/>
        <v>67459.670804701891</v>
      </c>
    </row>
    <row r="23" spans="1:14" x14ac:dyDescent="0.2">
      <c r="A23" s="356"/>
      <c r="B23" s="61">
        <v>2011</v>
      </c>
      <c r="C23" s="750">
        <v>1196612.7704490384</v>
      </c>
      <c r="D23" s="751">
        <v>568041.68320329254</v>
      </c>
      <c r="E23" s="751">
        <v>999500.05360099196</v>
      </c>
      <c r="F23" s="752">
        <v>96237.048105473543</v>
      </c>
      <c r="G23" s="753">
        <f t="shared" si="0"/>
        <v>2860391.5553587964</v>
      </c>
      <c r="H23" s="686"/>
      <c r="I23" s="24"/>
      <c r="J23" s="739">
        <v>2008</v>
      </c>
      <c r="K23" s="737">
        <f t="shared" si="1"/>
        <v>1027831.8916520025</v>
      </c>
      <c r="L23" s="737">
        <f t="shared" si="2"/>
        <v>399555.0703387963</v>
      </c>
      <c r="M23" s="737">
        <f t="shared" si="3"/>
        <v>716691.01010196272</v>
      </c>
      <c r="N23" s="737">
        <f t="shared" si="4"/>
        <v>72022.001090604914</v>
      </c>
    </row>
    <row r="24" spans="1:14" x14ac:dyDescent="0.2">
      <c r="A24" s="356"/>
      <c r="B24" s="683">
        <v>2012</v>
      </c>
      <c r="C24" s="743">
        <v>1379656.1115939592</v>
      </c>
      <c r="D24" s="744">
        <v>665764.93903639342</v>
      </c>
      <c r="E24" s="744">
        <v>1143905.3448795595</v>
      </c>
      <c r="F24" s="745">
        <v>109799.10381710083</v>
      </c>
      <c r="G24" s="746">
        <f t="shared" si="0"/>
        <v>3299125.4993270123</v>
      </c>
      <c r="H24" s="686"/>
      <c r="I24" s="24"/>
      <c r="J24" s="739">
        <v>2009</v>
      </c>
      <c r="K24" s="737">
        <f t="shared" si="1"/>
        <v>910151.82885370869</v>
      </c>
      <c r="L24" s="737">
        <f t="shared" si="2"/>
        <v>454550.76665939082</v>
      </c>
      <c r="M24" s="737">
        <f t="shared" si="3"/>
        <v>792475.92957778438</v>
      </c>
      <c r="N24" s="737">
        <f t="shared" si="4"/>
        <v>78879.628738922736</v>
      </c>
    </row>
    <row r="25" spans="1:14" x14ac:dyDescent="0.2">
      <c r="A25" s="356"/>
      <c r="B25" s="61">
        <v>2013</v>
      </c>
      <c r="C25" s="750">
        <v>1441539.8024168243</v>
      </c>
      <c r="D25" s="751">
        <v>737391.51220428827</v>
      </c>
      <c r="E25" s="751">
        <v>1241000.8431573522</v>
      </c>
      <c r="F25" s="752">
        <v>116294.17167812247</v>
      </c>
      <c r="G25" s="753">
        <f t="shared" si="0"/>
        <v>3536226.3294565869</v>
      </c>
      <c r="H25" s="686"/>
      <c r="I25" s="24"/>
      <c r="J25" s="739">
        <v>2010</v>
      </c>
      <c r="K25" s="737">
        <f t="shared" si="1"/>
        <v>971594.08601682109</v>
      </c>
      <c r="L25" s="737">
        <f t="shared" si="2"/>
        <v>526340.05433409393</v>
      </c>
      <c r="M25" s="737">
        <f t="shared" si="3"/>
        <v>864962.42369105283</v>
      </c>
      <c r="N25" s="737">
        <f t="shared" si="4"/>
        <v>85638.464160990639</v>
      </c>
    </row>
    <row r="26" spans="1:14" x14ac:dyDescent="0.2">
      <c r="A26" s="356"/>
      <c r="B26" s="683">
        <v>2014</v>
      </c>
      <c r="C26" s="743">
        <f>1665455.82668933+156.829571</f>
        <v>1665612.65626033</v>
      </c>
      <c r="D26" s="744">
        <v>836842.30774737417</v>
      </c>
      <c r="E26" s="744">
        <v>1407774.9448299771</v>
      </c>
      <c r="F26" s="745">
        <v>115116.20663604917</v>
      </c>
      <c r="G26" s="746">
        <f t="shared" si="0"/>
        <v>4025346.1154737305</v>
      </c>
      <c r="H26" s="686"/>
      <c r="I26" s="24"/>
      <c r="J26" s="739">
        <v>2011</v>
      </c>
      <c r="K26" s="737">
        <f t="shared" si="1"/>
        <v>1196612.7704490384</v>
      </c>
      <c r="L26" s="737">
        <f t="shared" si="2"/>
        <v>568041.68320329254</v>
      </c>
      <c r="M26" s="737">
        <f t="shared" si="3"/>
        <v>999500.05360099196</v>
      </c>
      <c r="N26" s="737">
        <f t="shared" si="4"/>
        <v>96237.048105473543</v>
      </c>
    </row>
    <row r="27" spans="1:14" x14ac:dyDescent="0.2">
      <c r="A27" s="356"/>
      <c r="B27" s="61">
        <v>2015</v>
      </c>
      <c r="C27" s="750">
        <v>1728275.9300000002</v>
      </c>
      <c r="D27" s="751">
        <v>883699.57999999973</v>
      </c>
      <c r="E27" s="751">
        <v>1428790.09</v>
      </c>
      <c r="F27" s="752">
        <v>130645.79</v>
      </c>
      <c r="G27" s="753">
        <f t="shared" si="0"/>
        <v>4171411.3899999997</v>
      </c>
      <c r="H27" s="686"/>
      <c r="I27" s="24"/>
      <c r="J27" s="739">
        <v>2012</v>
      </c>
      <c r="K27" s="737">
        <f t="shared" si="1"/>
        <v>1379656.1115939592</v>
      </c>
      <c r="L27" s="737">
        <f t="shared" si="2"/>
        <v>665764.93903639342</v>
      </c>
      <c r="M27" s="737">
        <f t="shared" si="3"/>
        <v>1143905.3448795595</v>
      </c>
      <c r="N27" s="737">
        <f t="shared" si="4"/>
        <v>109799.10381710083</v>
      </c>
    </row>
    <row r="28" spans="1:14" x14ac:dyDescent="0.2">
      <c r="A28" s="356"/>
      <c r="B28" s="683">
        <v>2016</v>
      </c>
      <c r="C28" s="743">
        <v>1860291.9919229595</v>
      </c>
      <c r="D28" s="744">
        <v>937495.5716511088</v>
      </c>
      <c r="E28" s="744">
        <v>1504775.322915006</v>
      </c>
      <c r="F28" s="745">
        <v>146893.56904509378</v>
      </c>
      <c r="G28" s="746">
        <f t="shared" si="0"/>
        <v>4449456.4555341685</v>
      </c>
      <c r="H28" s="686"/>
      <c r="I28" s="24"/>
      <c r="J28" s="739">
        <v>2013</v>
      </c>
      <c r="K28" s="737">
        <f t="shared" si="1"/>
        <v>1441539.8024168243</v>
      </c>
      <c r="L28" s="737">
        <f t="shared" si="2"/>
        <v>737391.51220428827</v>
      </c>
      <c r="M28" s="737">
        <f t="shared" si="3"/>
        <v>1241000.8431573522</v>
      </c>
      <c r="N28" s="737">
        <f t="shared" si="4"/>
        <v>116294.17167812247</v>
      </c>
    </row>
    <row r="29" spans="1:14" x14ac:dyDescent="0.2">
      <c r="A29" s="356"/>
      <c r="B29" s="1089">
        <v>2017</v>
      </c>
      <c r="C29" s="750">
        <v>1797961.2811510575</v>
      </c>
      <c r="D29" s="751">
        <v>942448.2152739797</v>
      </c>
      <c r="E29" s="751">
        <v>1586189.5239483442</v>
      </c>
      <c r="F29" s="752">
        <v>153099.14598403813</v>
      </c>
      <c r="G29" s="753">
        <f t="shared" si="0"/>
        <v>4479698.1663574195</v>
      </c>
      <c r="H29" s="686"/>
      <c r="J29" s="739">
        <v>2014</v>
      </c>
      <c r="K29" s="737">
        <f t="shared" si="1"/>
        <v>1665612.65626033</v>
      </c>
      <c r="L29" s="737">
        <f t="shared" si="2"/>
        <v>836842.30774737417</v>
      </c>
      <c r="M29" s="737">
        <f t="shared" si="3"/>
        <v>1407774.9448299771</v>
      </c>
      <c r="N29" s="737">
        <f t="shared" si="4"/>
        <v>115116.20663604917</v>
      </c>
    </row>
    <row r="30" spans="1:14" x14ac:dyDescent="0.2">
      <c r="A30" s="356"/>
      <c r="B30" s="1235">
        <v>2018</v>
      </c>
      <c r="C30" s="743">
        <v>1852333.4751519687</v>
      </c>
      <c r="D30" s="744">
        <v>1004206.1397633412</v>
      </c>
      <c r="E30" s="744">
        <v>1709828.2802331455</v>
      </c>
      <c r="F30" s="745">
        <v>166188.19137482424</v>
      </c>
      <c r="G30" s="746">
        <f>+SUM(C30:F30)</f>
        <v>4732556.0865232795</v>
      </c>
      <c r="H30" s="686"/>
      <c r="I30" s="24"/>
      <c r="J30" s="739">
        <v>2014</v>
      </c>
      <c r="K30" s="737">
        <f>+C27</f>
        <v>1728275.9300000002</v>
      </c>
      <c r="L30" s="737">
        <f>+D27</f>
        <v>883699.57999999973</v>
      </c>
      <c r="M30" s="737">
        <f>+E27</f>
        <v>1428790.09</v>
      </c>
      <c r="N30" s="737">
        <f>+F27</f>
        <v>130645.79</v>
      </c>
    </row>
    <row r="31" spans="1:14" x14ac:dyDescent="0.2">
      <c r="A31" s="356"/>
      <c r="B31" s="1236">
        <v>2019</v>
      </c>
      <c r="C31" s="750">
        <v>1887444.9591489658</v>
      </c>
      <c r="D31" s="751">
        <v>1051965.5863518859</v>
      </c>
      <c r="E31" s="751">
        <v>1802635.3668811198</v>
      </c>
      <c r="F31" s="752">
        <v>190663.32467361999</v>
      </c>
      <c r="G31" s="753">
        <f t="shared" si="0"/>
        <v>4932709.2370555913</v>
      </c>
      <c r="H31" s="686"/>
      <c r="J31" s="739">
        <v>2015</v>
      </c>
      <c r="K31" s="737">
        <f t="shared" ref="K31:N35" si="5">+C27</f>
        <v>1728275.9300000002</v>
      </c>
      <c r="L31" s="737">
        <f t="shared" si="5"/>
        <v>883699.57999999973</v>
      </c>
      <c r="M31" s="737">
        <f t="shared" si="5"/>
        <v>1428790.09</v>
      </c>
      <c r="N31" s="737">
        <f t="shared" si="5"/>
        <v>130645.79</v>
      </c>
    </row>
    <row r="32" spans="1:14" ht="13.5" thickBot="1" x14ac:dyDescent="0.25">
      <c r="A32" s="356"/>
      <c r="B32" s="683"/>
      <c r="C32" s="743"/>
      <c r="D32" s="754"/>
      <c r="E32" s="754"/>
      <c r="F32" s="755"/>
      <c r="G32" s="746"/>
      <c r="H32" s="686"/>
      <c r="J32" s="739">
        <v>2016</v>
      </c>
      <c r="K32" s="737">
        <f t="shared" si="5"/>
        <v>1860291.9919229595</v>
      </c>
      <c r="L32" s="737">
        <f t="shared" si="5"/>
        <v>937495.5716511088</v>
      </c>
      <c r="M32" s="737">
        <f t="shared" si="5"/>
        <v>1504775.322915006</v>
      </c>
      <c r="N32" s="737">
        <f t="shared" si="5"/>
        <v>146893.56904509378</v>
      </c>
    </row>
    <row r="33" spans="1:14" x14ac:dyDescent="0.2">
      <c r="A33" s="356"/>
      <c r="B33" s="756" t="s">
        <v>356</v>
      </c>
      <c r="C33" s="757">
        <f>(C31/C30)-1</f>
        <v>1.895527153614518E-2</v>
      </c>
      <c r="D33" s="760">
        <f>(D31/D30)-1</f>
        <v>4.7559405083701378E-2</v>
      </c>
      <c r="E33" s="760">
        <f>(E31/E30)-1</f>
        <v>5.4278600793361331E-2</v>
      </c>
      <c r="F33" s="760">
        <f>(F31/F30)-1</f>
        <v>0.14727360046655802</v>
      </c>
      <c r="G33" s="761">
        <f>(G31/G30)-1</f>
        <v>4.2292821653457047E-2</v>
      </c>
      <c r="H33" s="686"/>
      <c r="J33" s="739">
        <v>2017</v>
      </c>
      <c r="K33" s="737">
        <f t="shared" si="5"/>
        <v>1797961.2811510575</v>
      </c>
      <c r="L33" s="737">
        <f t="shared" si="5"/>
        <v>942448.2152739797</v>
      </c>
      <c r="M33" s="737">
        <f t="shared" si="5"/>
        <v>1586189.5239483442</v>
      </c>
      <c r="N33" s="737">
        <f t="shared" si="5"/>
        <v>153099.14598403813</v>
      </c>
    </row>
    <row r="34" spans="1:14" x14ac:dyDescent="0.2">
      <c r="A34" s="356"/>
      <c r="B34" s="685" t="s">
        <v>360</v>
      </c>
      <c r="C34" s="747">
        <f>((C31/C26)^(1/5))-1</f>
        <v>2.532148232326481E-2</v>
      </c>
      <c r="D34" s="762">
        <f>((D31/D26)^(1/5))-1</f>
        <v>4.6818962073576387E-2</v>
      </c>
      <c r="E34" s="762">
        <f>((E31/E26)^(1/5))-1</f>
        <v>5.0690804034719816E-2</v>
      </c>
      <c r="F34" s="762">
        <f>((F31/F26)^(1/5))-1</f>
        <v>0.10618085650816789</v>
      </c>
      <c r="G34" s="763">
        <f>((G31/G26)^(1/5))-1</f>
        <v>4.1493245041872573E-2</v>
      </c>
      <c r="H34" s="684"/>
      <c r="J34" s="739">
        <v>2018</v>
      </c>
      <c r="K34" s="737">
        <f t="shared" si="5"/>
        <v>1852333.4751519687</v>
      </c>
      <c r="L34" s="737">
        <f t="shared" si="5"/>
        <v>1004206.1397633412</v>
      </c>
      <c r="M34" s="737">
        <f t="shared" si="5"/>
        <v>1709828.2802331455</v>
      </c>
      <c r="N34" s="737">
        <f t="shared" si="5"/>
        <v>166188.19137482424</v>
      </c>
    </row>
    <row r="35" spans="1:14" x14ac:dyDescent="0.2">
      <c r="A35" s="356"/>
      <c r="B35" s="758" t="s">
        <v>358</v>
      </c>
      <c r="C35" s="759">
        <f>(C31/C21)-1</f>
        <v>1.0737693418977243</v>
      </c>
      <c r="D35" s="764">
        <f>(D31/D21)-1</f>
        <v>1.3142972435907403</v>
      </c>
      <c r="E35" s="764">
        <f>(E31/E21)-1</f>
        <v>1.2746878480479888</v>
      </c>
      <c r="F35" s="764">
        <f>(F31/F21)-1</f>
        <v>1.4171427746532759</v>
      </c>
      <c r="G35" s="765">
        <f>(G31/G21)-1</f>
        <v>1.2059843249635964</v>
      </c>
      <c r="H35" s="686"/>
      <c r="J35" s="739">
        <v>2019</v>
      </c>
      <c r="K35" s="737">
        <f t="shared" si="5"/>
        <v>1887444.9591489658</v>
      </c>
      <c r="L35" s="737">
        <f t="shared" si="5"/>
        <v>1051965.5863518859</v>
      </c>
      <c r="M35" s="737">
        <f t="shared" si="5"/>
        <v>1802635.3668811198</v>
      </c>
      <c r="N35" s="737">
        <f t="shared" si="5"/>
        <v>190663.32467361999</v>
      </c>
    </row>
    <row r="36" spans="1:14" ht="13.5" thickBot="1" x14ac:dyDescent="0.25">
      <c r="A36" s="356"/>
      <c r="B36" s="687" t="s">
        <v>359</v>
      </c>
      <c r="C36" s="748">
        <f>((C31/C21)^(1/10))-1</f>
        <v>7.5662541006392914E-2</v>
      </c>
      <c r="D36" s="766">
        <f>((D31/D21)^(1/10))-1</f>
        <v>8.7531672285076301E-2</v>
      </c>
      <c r="E36" s="766">
        <f>((E31/E21)^(1/10))-1</f>
        <v>8.5655859677408186E-2</v>
      </c>
      <c r="F36" s="766">
        <f>((F31/F21)^(1/10))-1</f>
        <v>9.2270565349861666E-2</v>
      </c>
      <c r="G36" s="767">
        <f>((G31/G21)^(1/10))-1</f>
        <v>8.2331360311008961E-2</v>
      </c>
      <c r="H36" s="686"/>
    </row>
    <row r="37" spans="1:14" x14ac:dyDescent="0.2">
      <c r="A37" s="356"/>
      <c r="B37" s="749"/>
      <c r="C37" s="356"/>
      <c r="D37" s="356"/>
      <c r="E37" s="356"/>
      <c r="F37" s="356"/>
      <c r="G37" s="356"/>
      <c r="H37" s="686"/>
    </row>
    <row r="38" spans="1:14" ht="15.75" x14ac:dyDescent="0.25">
      <c r="A38" s="356"/>
      <c r="B38" s="356"/>
      <c r="C38" s="689"/>
      <c r="D38" s="689"/>
      <c r="E38" s="689"/>
      <c r="F38" s="690"/>
      <c r="G38" s="688"/>
      <c r="H38" s="686"/>
    </row>
    <row r="39" spans="1:14" x14ac:dyDescent="0.2">
      <c r="A39" s="356"/>
      <c r="B39" s="356"/>
      <c r="C39" s="356"/>
      <c r="D39" s="356"/>
      <c r="E39" s="356"/>
      <c r="F39" s="356"/>
      <c r="G39" s="356"/>
      <c r="H39" s="684"/>
    </row>
    <row r="40" spans="1:14" x14ac:dyDescent="0.2">
      <c r="A40" s="356"/>
      <c r="B40" s="356"/>
      <c r="C40" s="356"/>
      <c r="D40" s="356"/>
      <c r="E40" s="356"/>
      <c r="F40" s="356"/>
      <c r="G40" s="356"/>
    </row>
    <row r="41" spans="1:14" x14ac:dyDescent="0.2">
      <c r="A41" s="356"/>
      <c r="B41" s="356"/>
      <c r="C41" s="356"/>
      <c r="D41" s="356"/>
      <c r="E41" s="356"/>
      <c r="F41" s="356"/>
      <c r="G41" s="356"/>
    </row>
    <row r="42" spans="1:14" x14ac:dyDescent="0.2">
      <c r="A42" s="356"/>
      <c r="B42" s="356"/>
      <c r="C42" s="356"/>
      <c r="D42" s="356"/>
      <c r="E42" s="356"/>
      <c r="F42" s="356"/>
      <c r="G42" s="356"/>
    </row>
    <row r="43" spans="1:14" x14ac:dyDescent="0.2">
      <c r="A43" s="356"/>
      <c r="B43" s="356"/>
      <c r="C43" s="356"/>
      <c r="D43" s="356"/>
      <c r="E43" s="356"/>
      <c r="F43" s="356"/>
      <c r="G43" s="356"/>
    </row>
    <row r="44" spans="1:14" x14ac:dyDescent="0.2">
      <c r="A44" s="356"/>
      <c r="B44" s="356"/>
      <c r="C44" s="356"/>
      <c r="D44" s="356"/>
      <c r="E44" s="356"/>
      <c r="F44" s="356"/>
      <c r="G44" s="356"/>
    </row>
    <row r="45" spans="1:14" x14ac:dyDescent="0.2">
      <c r="A45" s="356"/>
      <c r="B45" s="356"/>
      <c r="C45" s="356"/>
      <c r="D45" s="356"/>
      <c r="E45" s="356"/>
      <c r="F45" s="356"/>
      <c r="G45" s="356"/>
    </row>
    <row r="46" spans="1:14" x14ac:dyDescent="0.2">
      <c r="A46" s="356"/>
      <c r="B46" s="356"/>
      <c r="C46" s="356"/>
      <c r="D46" s="356"/>
      <c r="E46" s="356"/>
      <c r="F46" s="356"/>
      <c r="G46" s="356"/>
    </row>
    <row r="47" spans="1:14" x14ac:dyDescent="0.2">
      <c r="A47" s="356"/>
      <c r="B47" s="356"/>
      <c r="C47" s="356"/>
      <c r="D47" s="356"/>
      <c r="E47" s="356"/>
      <c r="F47" s="356"/>
      <c r="G47" s="356"/>
    </row>
    <row r="48" spans="1:14" x14ac:dyDescent="0.2">
      <c r="A48" s="356"/>
      <c r="B48" s="356"/>
      <c r="C48" s="356"/>
      <c r="D48" s="356"/>
      <c r="E48" s="356"/>
      <c r="F48" s="356"/>
      <c r="G48" s="356"/>
    </row>
    <row r="49" spans="1:7" x14ac:dyDescent="0.2">
      <c r="A49" s="356"/>
      <c r="B49" s="356"/>
      <c r="C49" s="356"/>
      <c r="D49" s="356"/>
      <c r="E49" s="356"/>
      <c r="F49" s="356"/>
      <c r="G49" s="356"/>
    </row>
    <row r="50" spans="1:7" x14ac:dyDescent="0.2">
      <c r="A50" s="356"/>
      <c r="B50" s="356"/>
      <c r="C50" s="356"/>
      <c r="D50" s="356"/>
      <c r="E50" s="356"/>
      <c r="F50" s="356"/>
      <c r="G50" s="356"/>
    </row>
    <row r="51" spans="1:7" x14ac:dyDescent="0.2">
      <c r="A51" s="356"/>
      <c r="B51" s="356"/>
      <c r="C51" s="356"/>
      <c r="D51" s="356"/>
      <c r="E51" s="356"/>
      <c r="F51" s="356"/>
      <c r="G51" s="356"/>
    </row>
    <row r="52" spans="1:7" x14ac:dyDescent="0.2">
      <c r="A52" s="356"/>
      <c r="B52" s="356"/>
      <c r="C52" s="356"/>
      <c r="D52" s="356"/>
      <c r="E52" s="356"/>
      <c r="F52" s="356"/>
      <c r="G52" s="356"/>
    </row>
    <row r="53" spans="1:7" x14ac:dyDescent="0.2">
      <c r="A53" s="356"/>
      <c r="B53" s="356"/>
      <c r="C53" s="356"/>
      <c r="D53" s="356"/>
      <c r="E53" s="356"/>
      <c r="F53" s="356"/>
      <c r="G53" s="356"/>
    </row>
    <row r="54" spans="1:7" x14ac:dyDescent="0.2">
      <c r="A54" s="356"/>
      <c r="B54" s="356"/>
      <c r="C54" s="356"/>
      <c r="D54" s="356"/>
      <c r="E54" s="356"/>
      <c r="F54" s="356"/>
      <c r="G54" s="356"/>
    </row>
    <row r="55" spans="1:7" x14ac:dyDescent="0.2">
      <c r="A55" s="356"/>
      <c r="B55" s="356"/>
      <c r="C55" s="356"/>
      <c r="D55" s="356"/>
      <c r="E55" s="356"/>
      <c r="F55" s="356"/>
      <c r="G55" s="356"/>
    </row>
    <row r="56" spans="1:7" x14ac:dyDescent="0.2">
      <c r="A56" s="356"/>
      <c r="B56" s="356"/>
      <c r="C56" s="356"/>
      <c r="D56" s="356"/>
      <c r="E56" s="356"/>
      <c r="F56" s="356"/>
      <c r="G56" s="356"/>
    </row>
    <row r="57" spans="1:7" x14ac:dyDescent="0.2">
      <c r="A57" s="356"/>
      <c r="B57" s="356"/>
      <c r="C57" s="356"/>
      <c r="D57" s="356"/>
      <c r="E57" s="356"/>
      <c r="F57" s="356"/>
      <c r="G57" s="356"/>
    </row>
    <row r="58" spans="1:7" x14ac:dyDescent="0.2">
      <c r="A58" s="356"/>
      <c r="B58" s="356"/>
      <c r="C58" s="356"/>
      <c r="D58" s="356"/>
      <c r="E58" s="356"/>
      <c r="F58" s="356"/>
      <c r="G58" s="356"/>
    </row>
    <row r="59" spans="1:7" x14ac:dyDescent="0.2">
      <c r="A59" s="356"/>
      <c r="B59" s="356"/>
      <c r="C59" s="356"/>
      <c r="D59" s="356"/>
      <c r="E59" s="356"/>
      <c r="F59" s="356"/>
      <c r="G59" s="356"/>
    </row>
    <row r="60" spans="1:7" x14ac:dyDescent="0.2">
      <c r="A60" s="356"/>
      <c r="B60" s="356"/>
      <c r="C60" s="356"/>
      <c r="D60" s="356"/>
      <c r="E60" s="356"/>
      <c r="F60" s="356"/>
      <c r="G60" s="356"/>
    </row>
    <row r="61" spans="1:7" x14ac:dyDescent="0.2">
      <c r="A61" s="356"/>
      <c r="B61" s="356"/>
      <c r="C61" s="356"/>
      <c r="D61" s="356"/>
      <c r="E61" s="356"/>
      <c r="F61" s="356"/>
      <c r="G61" s="356"/>
    </row>
    <row r="62" spans="1:7" x14ac:dyDescent="0.2">
      <c r="A62" s="356"/>
      <c r="B62" s="356"/>
      <c r="C62" s="356"/>
      <c r="D62" s="356"/>
      <c r="E62" s="356"/>
      <c r="F62" s="356"/>
      <c r="G62" s="356"/>
    </row>
    <row r="63" spans="1:7" x14ac:dyDescent="0.2">
      <c r="A63" s="356"/>
      <c r="B63" s="356"/>
      <c r="C63" s="356"/>
      <c r="D63" s="356"/>
      <c r="E63" s="356"/>
      <c r="F63" s="356"/>
      <c r="G63" s="356"/>
    </row>
    <row r="64" spans="1:7" x14ac:dyDescent="0.2">
      <c r="A64" s="356"/>
      <c r="B64" s="356"/>
      <c r="C64" s="356"/>
      <c r="D64" s="356"/>
      <c r="E64" s="356"/>
      <c r="F64" s="356"/>
      <c r="G64" s="356"/>
    </row>
    <row r="65" spans="1:7" x14ac:dyDescent="0.2">
      <c r="A65" s="356"/>
      <c r="B65" s="356"/>
      <c r="C65" s="356"/>
      <c r="D65" s="356"/>
      <c r="E65" s="356"/>
      <c r="F65" s="356"/>
      <c r="G65" s="356"/>
    </row>
    <row r="66" spans="1:7" x14ac:dyDescent="0.2">
      <c r="A66" s="356"/>
      <c r="B66" s="356"/>
      <c r="C66" s="356"/>
      <c r="D66" s="356"/>
      <c r="E66" s="356"/>
      <c r="F66" s="356"/>
      <c r="G66" s="356"/>
    </row>
    <row r="67" spans="1:7" x14ac:dyDescent="0.2">
      <c r="A67" s="356"/>
      <c r="B67" s="356"/>
      <c r="C67" s="356"/>
      <c r="D67" s="356"/>
      <c r="E67" s="356"/>
      <c r="F67" s="356"/>
      <c r="G67" s="356"/>
    </row>
    <row r="68" spans="1:7" x14ac:dyDescent="0.2">
      <c r="A68" s="356"/>
      <c r="B68" s="356"/>
      <c r="C68" s="356"/>
      <c r="D68" s="356"/>
      <c r="E68" s="356"/>
      <c r="F68" s="356"/>
      <c r="G68" s="356"/>
    </row>
    <row r="69" spans="1:7" x14ac:dyDescent="0.2">
      <c r="A69" s="356"/>
      <c r="B69" s="356"/>
      <c r="C69" s="356"/>
      <c r="D69" s="356"/>
      <c r="E69" s="356"/>
      <c r="F69" s="356"/>
      <c r="G69" s="356"/>
    </row>
    <row r="70" spans="1:7" x14ac:dyDescent="0.2">
      <c r="A70" s="356"/>
      <c r="B70" s="356"/>
      <c r="C70" s="356"/>
      <c r="D70" s="356"/>
      <c r="E70" s="356"/>
      <c r="F70" s="356"/>
      <c r="G70" s="356"/>
    </row>
    <row r="71" spans="1:7" x14ac:dyDescent="0.2">
      <c r="A71" s="356"/>
      <c r="B71" s="356"/>
      <c r="C71" s="356"/>
      <c r="D71" s="356"/>
      <c r="E71" s="356"/>
      <c r="F71" s="356"/>
      <c r="G71" s="356"/>
    </row>
    <row r="72" spans="1:7" x14ac:dyDescent="0.2">
      <c r="A72" s="356"/>
      <c r="B72" s="356"/>
      <c r="C72" s="356"/>
      <c r="D72" s="356"/>
      <c r="E72" s="356"/>
      <c r="F72" s="356"/>
      <c r="G72" s="356"/>
    </row>
    <row r="73" spans="1:7" x14ac:dyDescent="0.2">
      <c r="A73" s="356"/>
      <c r="B73" s="356"/>
      <c r="C73" s="356"/>
      <c r="D73" s="356"/>
      <c r="E73" s="356"/>
      <c r="F73" s="356"/>
      <c r="G73" s="356"/>
    </row>
    <row r="74" spans="1:7" x14ac:dyDescent="0.2">
      <c r="A74" s="356"/>
      <c r="B74" s="356"/>
      <c r="C74" s="356"/>
      <c r="D74" s="356"/>
      <c r="E74" s="356"/>
      <c r="F74" s="356"/>
      <c r="G74" s="356"/>
    </row>
    <row r="75" spans="1:7" x14ac:dyDescent="0.2">
      <c r="A75" s="356"/>
      <c r="B75" s="356"/>
      <c r="C75" s="356"/>
      <c r="D75" s="356"/>
      <c r="E75" s="356"/>
      <c r="F75" s="356"/>
      <c r="G75" s="356"/>
    </row>
    <row r="76" spans="1:7" x14ac:dyDescent="0.2">
      <c r="A76" s="356"/>
      <c r="B76" s="356"/>
      <c r="C76" s="356"/>
      <c r="D76" s="356"/>
      <c r="E76" s="356"/>
      <c r="F76" s="356"/>
      <c r="G76" s="356"/>
    </row>
    <row r="77" spans="1:7" x14ac:dyDescent="0.2">
      <c r="A77" s="356"/>
      <c r="B77" s="356"/>
      <c r="C77" s="356"/>
      <c r="D77" s="356"/>
      <c r="E77" s="356"/>
      <c r="F77" s="356"/>
      <c r="G77" s="356"/>
    </row>
    <row r="78" spans="1:7" x14ac:dyDescent="0.2">
      <c r="A78" s="356"/>
      <c r="B78" s="356"/>
      <c r="C78" s="356"/>
      <c r="D78" s="356"/>
      <c r="E78" s="356"/>
      <c r="F78" s="356"/>
      <c r="G78" s="356"/>
    </row>
    <row r="79" spans="1:7" x14ac:dyDescent="0.2">
      <c r="A79" s="356"/>
      <c r="B79" s="356"/>
      <c r="C79" s="356"/>
      <c r="D79" s="356"/>
      <c r="E79" s="356"/>
      <c r="F79" s="356"/>
      <c r="G79" s="356"/>
    </row>
    <row r="80" spans="1:7" x14ac:dyDescent="0.2">
      <c r="A80" s="356"/>
      <c r="B80" s="356"/>
      <c r="C80" s="356"/>
      <c r="D80" s="356"/>
      <c r="E80" s="356"/>
      <c r="F80" s="356"/>
      <c r="G80" s="356"/>
    </row>
    <row r="81" spans="1:7" x14ac:dyDescent="0.2">
      <c r="A81" s="356"/>
      <c r="B81" s="356"/>
      <c r="C81" s="356"/>
      <c r="D81" s="356"/>
      <c r="E81" s="356"/>
      <c r="F81" s="356"/>
      <c r="G81" s="356"/>
    </row>
    <row r="82" spans="1:7" x14ac:dyDescent="0.2">
      <c r="A82" s="356"/>
      <c r="B82" s="356"/>
      <c r="C82" s="356"/>
      <c r="D82" s="356"/>
      <c r="E82" s="356"/>
      <c r="F82" s="356"/>
      <c r="G82" s="356"/>
    </row>
    <row r="83" spans="1:7" x14ac:dyDescent="0.2">
      <c r="A83" s="356"/>
      <c r="B83" s="356"/>
      <c r="C83" s="356"/>
      <c r="D83" s="356"/>
      <c r="E83" s="356"/>
      <c r="F83" s="356"/>
      <c r="G83" s="356"/>
    </row>
    <row r="84" spans="1:7" x14ac:dyDescent="0.2">
      <c r="A84" s="356"/>
      <c r="B84" s="356"/>
      <c r="C84" s="356"/>
      <c r="D84" s="356"/>
      <c r="E84" s="356"/>
      <c r="F84" s="356"/>
      <c r="G84" s="356"/>
    </row>
    <row r="85" spans="1:7" x14ac:dyDescent="0.2">
      <c r="A85" s="356"/>
      <c r="B85" s="356"/>
      <c r="C85" s="356"/>
      <c r="D85" s="356"/>
      <c r="E85" s="356"/>
      <c r="F85" s="356"/>
      <c r="G85" s="356"/>
    </row>
    <row r="86" spans="1:7" x14ac:dyDescent="0.2">
      <c r="A86" s="356"/>
      <c r="B86" s="356"/>
      <c r="C86" s="356"/>
      <c r="D86" s="356"/>
      <c r="E86" s="356"/>
      <c r="F86" s="356"/>
      <c r="G86" s="356"/>
    </row>
    <row r="87" spans="1:7" x14ac:dyDescent="0.2">
      <c r="A87" s="356"/>
      <c r="B87" s="356"/>
      <c r="C87" s="356"/>
      <c r="D87" s="356"/>
      <c r="E87" s="356"/>
      <c r="F87" s="356"/>
      <c r="G87" s="356"/>
    </row>
    <row r="88" spans="1:7" x14ac:dyDescent="0.2">
      <c r="A88" s="356"/>
      <c r="B88" s="356"/>
      <c r="C88" s="356"/>
      <c r="D88" s="356"/>
      <c r="E88" s="356"/>
      <c r="F88" s="356"/>
      <c r="G88" s="356"/>
    </row>
    <row r="89" spans="1:7" x14ac:dyDescent="0.2">
      <c r="A89" s="356"/>
      <c r="B89" s="356"/>
      <c r="C89" s="356"/>
      <c r="D89" s="356"/>
      <c r="E89" s="356"/>
      <c r="F89" s="356"/>
      <c r="G89" s="356"/>
    </row>
    <row r="90" spans="1:7" x14ac:dyDescent="0.2">
      <c r="A90" s="356"/>
      <c r="B90" s="356"/>
      <c r="C90" s="356"/>
      <c r="D90" s="356"/>
      <c r="E90" s="356"/>
      <c r="F90" s="356"/>
      <c r="G90" s="356"/>
    </row>
    <row r="91" spans="1:7" x14ac:dyDescent="0.2">
      <c r="A91" s="356"/>
      <c r="B91" s="356"/>
      <c r="C91" s="356"/>
      <c r="D91" s="356"/>
      <c r="E91" s="356"/>
      <c r="F91" s="356"/>
      <c r="G91" s="356"/>
    </row>
    <row r="92" spans="1:7" x14ac:dyDescent="0.2">
      <c r="A92" s="356"/>
      <c r="B92" s="356"/>
      <c r="C92" s="356"/>
      <c r="D92" s="356"/>
      <c r="E92" s="356"/>
      <c r="F92" s="356"/>
      <c r="G92" s="356"/>
    </row>
    <row r="93" spans="1:7" x14ac:dyDescent="0.2">
      <c r="A93" s="356"/>
      <c r="B93" s="356"/>
      <c r="C93" s="356"/>
      <c r="D93" s="356"/>
      <c r="E93" s="356"/>
      <c r="F93" s="356"/>
      <c r="G93" s="356"/>
    </row>
  </sheetData>
  <mergeCells count="2">
    <mergeCell ref="B4:B5"/>
    <mergeCell ref="C4:G4"/>
  </mergeCells>
  <phoneticPr fontId="20" type="noConversion"/>
  <pageMargins left="0.9" right="0.21" top="0.94" bottom="1" header="0" footer="0"/>
  <pageSetup paperSize="9" scale="72" orientation="portrait" r:id="rId1"/>
  <headerFooter alignWithMargins="0"/>
  <ignoredErrors>
    <ignoredError sqref="G7:G31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zoomScale="90" zoomScaleNormal="100" zoomScaleSheetLayoutView="90" workbookViewId="0">
      <selection activeCell="K54" sqref="K54"/>
    </sheetView>
  </sheetViews>
  <sheetFormatPr baseColWidth="10" defaultRowHeight="12.75" x14ac:dyDescent="0.2"/>
  <cols>
    <col min="1" max="1" width="2.85546875" customWidth="1"/>
    <col min="2" max="2" width="24.85546875" customWidth="1"/>
    <col min="3" max="7" width="19.140625" customWidth="1"/>
    <col min="8" max="8" width="1.7109375" customWidth="1"/>
    <col min="9" max="9" width="10.7109375" customWidth="1"/>
    <col min="10" max="10" width="15.5703125" customWidth="1"/>
    <col min="11" max="11" width="10.7109375" customWidth="1"/>
    <col min="12" max="12" width="11.7109375" customWidth="1"/>
    <col min="13" max="13" width="10.7109375" customWidth="1"/>
    <col min="14" max="14" width="11.7109375" customWidth="1"/>
    <col min="15" max="17" width="10.7109375" customWidth="1"/>
    <col min="21" max="21" width="12.5703125" bestFit="1" customWidth="1"/>
  </cols>
  <sheetData>
    <row r="1" spans="1:23" ht="15.75" x14ac:dyDescent="0.25">
      <c r="A1" s="59" t="s">
        <v>216</v>
      </c>
      <c r="C1" s="25"/>
      <c r="D1" s="2"/>
      <c r="E1" s="2"/>
      <c r="F1" s="2"/>
      <c r="G1" s="2"/>
      <c r="I1" s="8"/>
      <c r="O1" s="3"/>
      <c r="P1" s="8"/>
      <c r="Q1" s="8"/>
      <c r="R1" s="8"/>
      <c r="S1" s="8"/>
      <c r="T1" s="8"/>
      <c r="U1" s="8"/>
      <c r="V1" s="8"/>
      <c r="W1" s="8"/>
    </row>
    <row r="2" spans="1:23" ht="15" x14ac:dyDescent="0.25">
      <c r="B2" s="11"/>
      <c r="C2" s="11"/>
      <c r="D2" s="11"/>
      <c r="E2" s="11"/>
      <c r="F2" s="11"/>
      <c r="G2" s="11"/>
      <c r="I2" s="3"/>
      <c r="O2" s="3"/>
      <c r="P2" s="3"/>
      <c r="Q2" s="3"/>
      <c r="R2" s="3"/>
      <c r="S2" s="3"/>
      <c r="T2" s="3"/>
      <c r="U2" s="3"/>
      <c r="V2" s="20"/>
      <c r="W2" s="12"/>
    </row>
    <row r="3" spans="1:23" ht="13.5" thickBot="1" x14ac:dyDescent="0.25">
      <c r="I3" s="3"/>
      <c r="O3" s="3"/>
      <c r="P3" s="3"/>
      <c r="Q3" s="3"/>
      <c r="R3" s="3"/>
      <c r="S3" s="3"/>
      <c r="T3" s="3"/>
      <c r="U3" s="3"/>
      <c r="V3" s="20"/>
      <c r="W3" s="12"/>
    </row>
    <row r="4" spans="1:23" ht="20.25" customHeight="1" thickBot="1" x14ac:dyDescent="0.25">
      <c r="B4" s="1282" t="s">
        <v>18</v>
      </c>
      <c r="C4" s="1306" t="s">
        <v>60</v>
      </c>
      <c r="D4" s="1307"/>
      <c r="E4" s="1307"/>
      <c r="F4" s="1307"/>
      <c r="G4" s="1308"/>
      <c r="I4" s="3"/>
      <c r="P4" s="3"/>
      <c r="Q4" s="3"/>
      <c r="R4" s="3"/>
      <c r="S4" s="3"/>
      <c r="T4" s="3"/>
      <c r="U4" s="3"/>
      <c r="V4" s="20"/>
      <c r="W4" s="12"/>
    </row>
    <row r="5" spans="1:23" x14ac:dyDescent="0.2">
      <c r="B5" s="1305"/>
      <c r="C5" s="1187" t="s">
        <v>40</v>
      </c>
      <c r="D5" s="1188" t="s">
        <v>41</v>
      </c>
      <c r="E5" s="1188" t="s">
        <v>42</v>
      </c>
      <c r="F5" s="1189" t="s">
        <v>43</v>
      </c>
      <c r="G5" s="1190" t="s">
        <v>62</v>
      </c>
      <c r="H5" s="13"/>
      <c r="I5" s="3"/>
      <c r="O5" s="3"/>
      <c r="P5" s="3"/>
      <c r="Q5" s="3"/>
      <c r="R5" s="3"/>
      <c r="S5" s="3"/>
      <c r="T5" s="3"/>
      <c r="U5" s="3"/>
      <c r="V5" s="20"/>
      <c r="W5" s="12"/>
    </row>
    <row r="6" spans="1:23" x14ac:dyDescent="0.2">
      <c r="B6" s="60"/>
      <c r="C6" s="768"/>
      <c r="D6" s="769"/>
      <c r="E6" s="769"/>
      <c r="F6" s="769"/>
      <c r="G6" s="770"/>
      <c r="H6" s="13"/>
      <c r="O6" s="3"/>
    </row>
    <row r="7" spans="1:23" x14ac:dyDescent="0.2">
      <c r="B7" s="61">
        <v>1995</v>
      </c>
      <c r="C7" s="750">
        <v>5.7782302810253094</v>
      </c>
      <c r="D7" s="751">
        <v>8.9302367672784584</v>
      </c>
      <c r="E7" s="751">
        <v>11.283446398970833</v>
      </c>
      <c r="F7" s="751">
        <v>8.4803805094420035</v>
      </c>
      <c r="G7" s="771">
        <v>8.3932836249791052</v>
      </c>
      <c r="H7" s="32"/>
    </row>
    <row r="8" spans="1:23" x14ac:dyDescent="0.2">
      <c r="B8" s="60">
        <v>1996</v>
      </c>
      <c r="C8" s="743">
        <v>6.0030181909749079</v>
      </c>
      <c r="D8" s="744">
        <v>9.0694904684164612</v>
      </c>
      <c r="E8" s="744">
        <v>11.700802658519068</v>
      </c>
      <c r="F8" s="744">
        <v>10.015867859658382</v>
      </c>
      <c r="G8" s="772">
        <v>8.6476466902058142</v>
      </c>
      <c r="H8" s="13"/>
    </row>
    <row r="9" spans="1:23" x14ac:dyDescent="0.2">
      <c r="B9" s="61">
        <v>1997</v>
      </c>
      <c r="C9" s="750">
        <v>5.8684121848887303</v>
      </c>
      <c r="D9" s="751">
        <v>8.9205556778745976</v>
      </c>
      <c r="E9" s="751">
        <v>11.582177535507025</v>
      </c>
      <c r="F9" s="751">
        <v>9.6052586075462489</v>
      </c>
      <c r="G9" s="771">
        <v>8.1882472400080566</v>
      </c>
      <c r="H9" s="13"/>
    </row>
    <row r="10" spans="1:23" x14ac:dyDescent="0.2">
      <c r="B10" s="60">
        <v>1998</v>
      </c>
      <c r="C10" s="743">
        <v>5.4203479173923501</v>
      </c>
      <c r="D10" s="744">
        <v>7.4315449474932489</v>
      </c>
      <c r="E10" s="744">
        <v>9.9684339944200495</v>
      </c>
      <c r="F10" s="744">
        <v>8.3800249198594479</v>
      </c>
      <c r="G10" s="772">
        <v>7.0538222851775645</v>
      </c>
      <c r="H10" s="13"/>
    </row>
    <row r="11" spans="1:23" x14ac:dyDescent="0.2">
      <c r="B11" s="61">
        <v>1999</v>
      </c>
      <c r="C11" s="750">
        <v>5.3406034884593927</v>
      </c>
      <c r="D11" s="751">
        <v>7.0256874835606498</v>
      </c>
      <c r="E11" s="751">
        <v>9.4944349046683083</v>
      </c>
      <c r="F11" s="751">
        <v>8.132461037046669</v>
      </c>
      <c r="G11" s="771">
        <v>6.7980137491809174</v>
      </c>
      <c r="H11" s="13"/>
    </row>
    <row r="12" spans="1:23" x14ac:dyDescent="0.2">
      <c r="B12" s="60">
        <v>2000</v>
      </c>
      <c r="C12" s="743">
        <v>5.6232403935526856</v>
      </c>
      <c r="D12" s="744">
        <v>7.3207428422098104</v>
      </c>
      <c r="E12" s="744">
        <v>10.077877207303533</v>
      </c>
      <c r="F12" s="744">
        <v>8.9205908881321658</v>
      </c>
      <c r="G12" s="772">
        <v>7.160031104190919</v>
      </c>
      <c r="H12" s="13"/>
    </row>
    <row r="13" spans="1:23" x14ac:dyDescent="0.2">
      <c r="B13" s="61">
        <v>2001</v>
      </c>
      <c r="C13" s="750">
        <v>5.1706818557398941</v>
      </c>
      <c r="D13" s="751">
        <v>7.3332801640044396</v>
      </c>
      <c r="E13" s="751">
        <v>10.040241931531753</v>
      </c>
      <c r="F13" s="751">
        <v>9.3918509603971447</v>
      </c>
      <c r="G13" s="771">
        <v>6.8517369115141831</v>
      </c>
      <c r="H13" s="13"/>
      <c r="K13" s="62"/>
    </row>
    <row r="14" spans="1:23" x14ac:dyDescent="0.2">
      <c r="B14" s="60">
        <v>2002</v>
      </c>
      <c r="C14" s="743">
        <v>5.1015716422276212</v>
      </c>
      <c r="D14" s="744">
        <v>7.4281104644374469</v>
      </c>
      <c r="E14" s="744">
        <v>8.9766906984860597</v>
      </c>
      <c r="F14" s="744">
        <v>7.9240644839032566</v>
      </c>
      <c r="G14" s="772">
        <v>6.572256424100436</v>
      </c>
      <c r="H14" s="13"/>
      <c r="K14" s="62"/>
    </row>
    <row r="15" spans="1:23" x14ac:dyDescent="0.2">
      <c r="B15" s="61">
        <v>2003</v>
      </c>
      <c r="C15" s="750">
        <v>5.0458110286969831</v>
      </c>
      <c r="D15" s="751">
        <v>7.1353528490967735</v>
      </c>
      <c r="E15" s="751">
        <v>9.6710123586537318</v>
      </c>
      <c r="F15" s="751">
        <v>7.7695003248875425</v>
      </c>
      <c r="G15" s="771">
        <v>6.6241520344619476</v>
      </c>
      <c r="H15" s="13"/>
    </row>
    <row r="16" spans="1:23" x14ac:dyDescent="0.2">
      <c r="B16" s="60">
        <v>2004</v>
      </c>
      <c r="C16" s="743">
        <v>5.3805626846567849</v>
      </c>
      <c r="D16" s="744">
        <v>7.7661883737661785</v>
      </c>
      <c r="E16" s="744">
        <v>9.9578542547562368</v>
      </c>
      <c r="F16" s="744">
        <v>9.6732809065578866</v>
      </c>
      <c r="G16" s="772">
        <v>7.0379541088956685</v>
      </c>
      <c r="H16" s="13"/>
    </row>
    <row r="17" spans="2:16" x14ac:dyDescent="0.2">
      <c r="B17" s="63">
        <v>2005</v>
      </c>
      <c r="C17" s="750">
        <v>5.7710451565357364</v>
      </c>
      <c r="D17" s="751">
        <v>8.4694383881362061</v>
      </c>
      <c r="E17" s="751">
        <v>10.83636761874177</v>
      </c>
      <c r="F17" s="751">
        <v>10.285576031650301</v>
      </c>
      <c r="G17" s="771">
        <v>7.6285206656659241</v>
      </c>
      <c r="H17" s="13"/>
    </row>
    <row r="18" spans="2:16" x14ac:dyDescent="0.2">
      <c r="B18" s="64">
        <v>2006</v>
      </c>
      <c r="C18" s="743">
        <v>5.7321248337003379</v>
      </c>
      <c r="D18" s="744">
        <v>8.1955962043482309</v>
      </c>
      <c r="E18" s="744">
        <v>10.756475285056688</v>
      </c>
      <c r="F18" s="744">
        <v>10.825611995897283</v>
      </c>
      <c r="G18" s="772">
        <v>7.5512081046012343</v>
      </c>
      <c r="H18" s="13"/>
    </row>
    <row r="19" spans="2:16" x14ac:dyDescent="0.2">
      <c r="B19" s="63">
        <v>2007</v>
      </c>
      <c r="C19" s="750">
        <v>5.5975724267146312</v>
      </c>
      <c r="D19" s="751">
        <v>8.2568829585447201</v>
      </c>
      <c r="E19" s="751">
        <v>10.68990130553876</v>
      </c>
      <c r="F19" s="751">
        <v>10.292187443523428</v>
      </c>
      <c r="G19" s="771">
        <v>7.4049441102825782</v>
      </c>
      <c r="H19" s="13"/>
      <c r="O19" s="58"/>
    </row>
    <row r="20" spans="2:16" x14ac:dyDescent="0.2">
      <c r="B20" s="64">
        <v>2008</v>
      </c>
      <c r="C20" s="743">
        <v>6.6581265067235282</v>
      </c>
      <c r="D20" s="744">
        <v>8.8890837350718002</v>
      </c>
      <c r="E20" s="744">
        <v>11.273478337353472</v>
      </c>
      <c r="F20" s="744">
        <v>10.670788413669451</v>
      </c>
      <c r="G20" s="772">
        <v>8.2186096245238325</v>
      </c>
      <c r="H20" s="13"/>
      <c r="K20" s="56"/>
    </row>
    <row r="21" spans="2:16" x14ac:dyDescent="0.2">
      <c r="B21" s="63">
        <v>2009</v>
      </c>
      <c r="C21" s="750">
        <v>6.0908442865023833</v>
      </c>
      <c r="D21" s="751">
        <v>9.4401478562870338</v>
      </c>
      <c r="E21" s="751">
        <v>11.926617410595755</v>
      </c>
      <c r="F21" s="751">
        <v>11.525785044073674</v>
      </c>
      <c r="G21" s="771">
        <v>8.2550953480745317</v>
      </c>
      <c r="H21" s="13"/>
      <c r="J21" s="65"/>
      <c r="K21" s="66"/>
    </row>
    <row r="22" spans="2:16" x14ac:dyDescent="0.2">
      <c r="B22" s="64">
        <v>2010</v>
      </c>
      <c r="C22" s="743">
        <v>5.9118425557976728</v>
      </c>
      <c r="D22" s="744">
        <v>10.110599528616511</v>
      </c>
      <c r="E22" s="744">
        <v>12.206216169236948</v>
      </c>
      <c r="F22" s="744">
        <v>12.072008153137142</v>
      </c>
      <c r="G22" s="772">
        <v>8.3181154409106988</v>
      </c>
      <c r="H22" s="32"/>
      <c r="K22" s="56"/>
      <c r="L22" s="65"/>
      <c r="M22" s="65"/>
      <c r="N22" s="65"/>
    </row>
    <row r="23" spans="2:16" x14ac:dyDescent="0.2">
      <c r="B23" s="63">
        <v>2011</v>
      </c>
      <c r="C23" s="750">
        <v>6.7069368359999997</v>
      </c>
      <c r="D23" s="751">
        <v>10.2108472</v>
      </c>
      <c r="E23" s="751">
        <v>13.043042</v>
      </c>
      <c r="F23" s="751">
        <v>12.7852389</v>
      </c>
      <c r="G23" s="771">
        <v>8.9891895000000002</v>
      </c>
      <c r="H23" s="32"/>
      <c r="I23" s="67"/>
      <c r="J23" s="67"/>
      <c r="K23" s="66"/>
    </row>
    <row r="24" spans="2:16" x14ac:dyDescent="0.2">
      <c r="B24" s="64">
        <v>2012</v>
      </c>
      <c r="C24" s="743">
        <v>7.3816059640000002</v>
      </c>
      <c r="D24" s="744">
        <v>10.983012199999999</v>
      </c>
      <c r="E24" s="744">
        <v>14.1041095</v>
      </c>
      <c r="F24" s="744">
        <v>13.9780652</v>
      </c>
      <c r="G24" s="772">
        <v>9.8047636399999991</v>
      </c>
      <c r="H24" s="32"/>
      <c r="I24" s="67"/>
      <c r="J24" s="67"/>
      <c r="K24" s="66"/>
    </row>
    <row r="25" spans="2:16" x14ac:dyDescent="0.2">
      <c r="B25" s="63">
        <v>2013</v>
      </c>
      <c r="C25" s="750">
        <v>7.5023070970000001</v>
      </c>
      <c r="D25" s="751">
        <v>10.907997099999999</v>
      </c>
      <c r="E25" s="751">
        <v>14.170105599999999</v>
      </c>
      <c r="F25" s="751">
        <v>13.259696699999999</v>
      </c>
      <c r="G25" s="771">
        <v>9.9305281900000004</v>
      </c>
      <c r="H25" s="32"/>
      <c r="I25" s="67"/>
      <c r="J25" s="67"/>
      <c r="K25" s="66"/>
    </row>
    <row r="26" spans="2:16" x14ac:dyDescent="0.2">
      <c r="B26" s="336">
        <v>2014</v>
      </c>
      <c r="C26" s="741">
        <v>8.0312491311083765</v>
      </c>
      <c r="D26" s="742">
        <v>12.301411987957612</v>
      </c>
      <c r="E26" s="742">
        <v>15.78132862713845</v>
      </c>
      <c r="F26" s="742">
        <v>13.303554800411794</v>
      </c>
      <c r="G26" s="773">
        <v>10.783782050828687</v>
      </c>
      <c r="H26" s="32"/>
    </row>
    <row r="27" spans="2:16" x14ac:dyDescent="0.2">
      <c r="B27" s="63">
        <v>2015</v>
      </c>
      <c r="C27" s="750">
        <v>7.7017087933678923</v>
      </c>
      <c r="D27" s="751">
        <v>12.270698485647618</v>
      </c>
      <c r="E27" s="751">
        <v>15.568993167433268</v>
      </c>
      <c r="F27" s="751">
        <v>13.669802678698016</v>
      </c>
      <c r="G27" s="771">
        <v>10.487588121433216</v>
      </c>
      <c r="H27" s="32"/>
    </row>
    <row r="28" spans="2:16" x14ac:dyDescent="0.2">
      <c r="B28" s="536">
        <v>2016</v>
      </c>
      <c r="C28" s="741">
        <v>7.3001152641734652</v>
      </c>
      <c r="D28" s="742">
        <v>12.4</v>
      </c>
      <c r="E28" s="742">
        <v>16.075329350197936</v>
      </c>
      <c r="F28" s="742">
        <v>15.225606159678609</v>
      </c>
      <c r="G28" s="773">
        <v>10.26</v>
      </c>
      <c r="H28" s="32"/>
    </row>
    <row r="29" spans="2:16" x14ac:dyDescent="0.2">
      <c r="B29" s="1090">
        <v>2017</v>
      </c>
      <c r="C29" s="750">
        <v>6.9093560973171986</v>
      </c>
      <c r="D29" s="751">
        <v>12.36150458399511</v>
      </c>
      <c r="E29" s="751">
        <v>16.498263611023503</v>
      </c>
      <c r="F29" s="751">
        <v>15.901634872294261</v>
      </c>
      <c r="G29" s="771">
        <v>10.1297346553573</v>
      </c>
      <c r="H29" s="32"/>
    </row>
    <row r="30" spans="2:16" x14ac:dyDescent="0.2">
      <c r="B30" s="536">
        <v>2018</v>
      </c>
      <c r="C30" s="741">
        <v>6.8268639100443682</v>
      </c>
      <c r="D30" s="742">
        <v>12.878542073669545</v>
      </c>
      <c r="E30" s="742">
        <v>17.262855749113854</v>
      </c>
      <c r="F30" s="742">
        <v>16.094148722764423</v>
      </c>
      <c r="G30" s="773">
        <v>10.317820651839202</v>
      </c>
      <c r="H30" s="32"/>
    </row>
    <row r="31" spans="2:16" x14ac:dyDescent="0.2">
      <c r="B31" s="1237">
        <v>2019</v>
      </c>
      <c r="C31" s="750">
        <f>+('10.10 Fact-CIIU'!C31*100000)/('10.9 Ventas-CIIU'!C31*1000000)</f>
        <v>6.7397943685643487</v>
      </c>
      <c r="D31" s="751">
        <f>+('10.10 Fact-CIIU'!D31*100000)/('10.9 Ventas-CIIU'!E31*1000000)</f>
        <v>12.950614593544486</v>
      </c>
      <c r="E31" s="751">
        <f>+('10.10 Fact-CIIU'!E31*100000)/('10.9 Ventas-CIIU'!G31*1000000)</f>
        <v>17.695675257879802</v>
      </c>
      <c r="F31" s="751">
        <f>+('10.10 Fact-CIIU'!F31*100000)/('10.9 Ventas-CIIU'!I31*1000000)</f>
        <v>17.231541664440272</v>
      </c>
      <c r="G31" s="771">
        <f>+('10.10 Fact-CIIU'!G31*100000)/('10.9 Ventas-CIIU'!K31*1000000)</f>
        <v>10.402008601138379</v>
      </c>
      <c r="H31" s="32"/>
    </row>
    <row r="32" spans="2:16" ht="13.5" thickBot="1" x14ac:dyDescent="0.25">
      <c r="B32" s="64"/>
      <c r="C32" s="768"/>
      <c r="D32" s="769"/>
      <c r="E32" s="769"/>
      <c r="F32" s="769"/>
      <c r="G32" s="770"/>
      <c r="H32" s="32"/>
      <c r="L32" s="20"/>
      <c r="M32" s="20"/>
      <c r="N32" s="20"/>
      <c r="O32" s="20"/>
      <c r="P32" s="20"/>
    </row>
    <row r="33" spans="2:16" x14ac:dyDescent="0.2">
      <c r="B33" s="55" t="s">
        <v>356</v>
      </c>
      <c r="C33" s="629">
        <f>(C31/C30)-1</f>
        <v>-1.2753958864173964E-2</v>
      </c>
      <c r="D33" s="760">
        <f>(D31/D30)-1</f>
        <v>5.5963260020166494E-3</v>
      </c>
      <c r="E33" s="760">
        <f>(E31/E30)-1</f>
        <v>2.5072300612149157E-2</v>
      </c>
      <c r="F33" s="774">
        <f>(F31/F30)-1</f>
        <v>7.0671208603102942E-2</v>
      </c>
      <c r="G33" s="775">
        <f>(G31/G30)-1</f>
        <v>8.1594701187377439E-3</v>
      </c>
      <c r="H33" s="13"/>
      <c r="L33" s="20"/>
      <c r="M33" s="20"/>
      <c r="N33" s="20"/>
      <c r="O33" s="20"/>
      <c r="P33" s="20"/>
    </row>
    <row r="34" spans="2:16" x14ac:dyDescent="0.2">
      <c r="B34" s="269" t="s">
        <v>357</v>
      </c>
      <c r="C34" s="630">
        <f>((C31/C26)^(1/5))-1</f>
        <v>-3.445457659687845E-2</v>
      </c>
      <c r="D34" s="762">
        <f>((D31/D26)^(1/5))-1</f>
        <v>1.033891996347247E-2</v>
      </c>
      <c r="E34" s="762">
        <f>((E31/E26)^(1/5))-1</f>
        <v>2.3162737539961009E-2</v>
      </c>
      <c r="F34" s="776">
        <f>((F31/F26)^(1/5))-1</f>
        <v>5.3104058100191587E-2</v>
      </c>
      <c r="G34" s="777">
        <f>((G31/G26)^(1/5))-1</f>
        <v>-7.1829625843240485E-3</v>
      </c>
      <c r="H34" s="13"/>
      <c r="J34" s="65"/>
      <c r="K34" s="65"/>
      <c r="L34" s="20"/>
      <c r="M34" s="20"/>
      <c r="N34" s="20"/>
      <c r="O34" s="20"/>
      <c r="P34" s="20"/>
    </row>
    <row r="35" spans="2:16" x14ac:dyDescent="0.2">
      <c r="B35" s="270" t="s">
        <v>358</v>
      </c>
      <c r="C35" s="631">
        <f>(C31/C21)-1</f>
        <v>0.10654517691415477</v>
      </c>
      <c r="D35" s="764">
        <f>(D31/D21)-1</f>
        <v>0.37186565196852506</v>
      </c>
      <c r="E35" s="764">
        <f>(E31/E21)-1</f>
        <v>0.48371282893326861</v>
      </c>
      <c r="F35" s="778">
        <f>(F31/F21)-1</f>
        <v>0.49504277570232702</v>
      </c>
      <c r="G35" s="779">
        <f>(G31/G21)-1</f>
        <v>0.26007128476894037</v>
      </c>
      <c r="H35" s="13"/>
      <c r="J35" s="65"/>
      <c r="K35" s="65"/>
      <c r="L35" s="65"/>
      <c r="M35" s="65"/>
      <c r="N35" s="65"/>
    </row>
    <row r="36" spans="2:16" ht="13.5" thickBot="1" x14ac:dyDescent="0.25">
      <c r="B36" s="271" t="s">
        <v>359</v>
      </c>
      <c r="C36" s="632">
        <f>((C31/C21)^(1/10))-1</f>
        <v>1.0175694660075951E-2</v>
      </c>
      <c r="D36" s="766">
        <f>((D31/D21)^(1/10))-1</f>
        <v>3.2122292290577947E-2</v>
      </c>
      <c r="E36" s="766">
        <f>((E31/E21)^(1/10))-1</f>
        <v>4.024343871765379E-2</v>
      </c>
      <c r="F36" s="780">
        <f>((F31/F21)^(1/10))-1</f>
        <v>4.1035074235074909E-2</v>
      </c>
      <c r="G36" s="781">
        <f>((G31/G21)^(1/10))-1</f>
        <v>2.3386094205682717E-2</v>
      </c>
      <c r="H36" s="13"/>
      <c r="I36" s="67"/>
      <c r="J36" s="65"/>
      <c r="K36" s="65"/>
      <c r="L36" s="65"/>
      <c r="M36" s="65"/>
      <c r="N36" s="65"/>
    </row>
    <row r="37" spans="2:16" x14ac:dyDescent="0.2">
      <c r="B37" s="68" t="s">
        <v>61</v>
      </c>
      <c r="C37" s="4"/>
      <c r="D37" s="4"/>
      <c r="E37" s="4"/>
      <c r="F37" s="4"/>
      <c r="G37" s="4"/>
      <c r="H37" s="13"/>
    </row>
    <row r="38" spans="2:16" x14ac:dyDescent="0.2">
      <c r="B38" s="68"/>
      <c r="C38" s="4"/>
      <c r="D38" s="4"/>
      <c r="E38" s="4"/>
      <c r="F38" s="4"/>
      <c r="G38" s="4"/>
      <c r="H38" s="13"/>
    </row>
    <row r="39" spans="2:16" ht="15.75" x14ac:dyDescent="0.25">
      <c r="C39" s="12"/>
      <c r="D39" s="12"/>
      <c r="E39" s="12"/>
      <c r="F39" s="9"/>
      <c r="G39" s="10"/>
      <c r="H39" s="13"/>
    </row>
    <row r="40" spans="2:16" ht="15.75" x14ac:dyDescent="0.25">
      <c r="C40" s="12"/>
      <c r="D40" s="12"/>
      <c r="E40" s="12"/>
      <c r="F40" s="9"/>
      <c r="G40" s="10"/>
      <c r="H40" s="13"/>
    </row>
    <row r="41" spans="2:16" ht="15.75" x14ac:dyDescent="0.25">
      <c r="B41" s="21"/>
      <c r="C41" s="12"/>
      <c r="D41" s="12"/>
      <c r="E41" s="12"/>
      <c r="F41" s="9"/>
      <c r="G41" s="10"/>
      <c r="H41" s="13"/>
    </row>
    <row r="42" spans="2:16" x14ac:dyDescent="0.2">
      <c r="H42" s="14"/>
    </row>
  </sheetData>
  <mergeCells count="2">
    <mergeCell ref="B4:B5"/>
    <mergeCell ref="C4:G4"/>
  </mergeCells>
  <pageMargins left="0.9" right="0.05" top="0.94" bottom="1" header="0" footer="0"/>
  <pageSetup paperSize="9" scale="7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view="pageBreakPreview" zoomScale="90" zoomScaleNormal="90" zoomScaleSheetLayoutView="90" workbookViewId="0">
      <selection activeCell="J4" sqref="J4"/>
    </sheetView>
  </sheetViews>
  <sheetFormatPr baseColWidth="10" defaultRowHeight="12.75" x14ac:dyDescent="0.2"/>
  <cols>
    <col min="1" max="1" width="2.85546875" customWidth="1"/>
    <col min="2" max="2" width="22.42578125" customWidth="1"/>
    <col min="3" max="3" width="24.28515625" customWidth="1"/>
    <col min="4" max="7" width="21" customWidth="1"/>
    <col min="8" max="8" width="3.28515625" customWidth="1"/>
    <col min="9" max="9" width="13.85546875" customWidth="1"/>
    <col min="10" max="10" width="15.85546875" customWidth="1"/>
    <col min="11" max="12" width="13.42578125" customWidth="1"/>
    <col min="13" max="13" width="12.42578125" customWidth="1"/>
    <col min="14" max="14" width="49.28515625" style="4" customWidth="1"/>
    <col min="15" max="15" width="2.85546875" customWidth="1"/>
  </cols>
  <sheetData>
    <row r="1" spans="1:18" ht="15.75" x14ac:dyDescent="0.25">
      <c r="A1" s="782" t="s">
        <v>63</v>
      </c>
      <c r="C1" s="5"/>
      <c r="D1" s="5"/>
      <c r="E1" s="5"/>
      <c r="F1" s="5"/>
      <c r="G1" s="5"/>
    </row>
    <row r="2" spans="1:18" ht="18" x14ac:dyDescent="0.25">
      <c r="B2" s="26"/>
      <c r="C2" s="5"/>
      <c r="D2" s="5"/>
      <c r="E2" s="5"/>
      <c r="F2" s="5"/>
      <c r="G2" s="5"/>
    </row>
    <row r="3" spans="1:18" ht="13.5" thickBot="1" x14ac:dyDescent="0.25">
      <c r="B3" s="27"/>
      <c r="C3" s="5"/>
      <c r="D3" s="5"/>
      <c r="E3" s="5"/>
      <c r="F3" s="5"/>
      <c r="G3" s="5"/>
      <c r="K3" s="4"/>
      <c r="L3" s="15"/>
      <c r="M3" s="15"/>
      <c r="N3" s="15"/>
      <c r="O3" s="15"/>
      <c r="P3" s="15"/>
      <c r="Q3" s="5"/>
      <c r="R3" s="5"/>
    </row>
    <row r="4" spans="1:18" ht="15" customHeight="1" x14ac:dyDescent="0.2">
      <c r="B4" s="1311" t="s">
        <v>18</v>
      </c>
      <c r="C4" s="1191" t="s">
        <v>52</v>
      </c>
      <c r="D4" s="1309" t="s">
        <v>53</v>
      </c>
      <c r="E4" s="1310"/>
      <c r="F4" s="1310"/>
      <c r="G4" s="1192" t="s">
        <v>13</v>
      </c>
      <c r="K4" s="4"/>
      <c r="L4" s="15"/>
      <c r="M4" s="15"/>
      <c r="N4" s="15"/>
      <c r="O4" s="15"/>
      <c r="P4" s="15"/>
      <c r="Q4" s="5"/>
      <c r="R4" s="5"/>
    </row>
    <row r="5" spans="1:18" ht="15" customHeight="1" x14ac:dyDescent="0.2">
      <c r="B5" s="1312"/>
      <c r="C5" s="1193" t="s">
        <v>0</v>
      </c>
      <c r="D5" s="1153" t="s">
        <v>0</v>
      </c>
      <c r="E5" s="1153" t="s">
        <v>10</v>
      </c>
      <c r="F5" s="1153" t="s">
        <v>11</v>
      </c>
      <c r="G5" s="1151" t="s">
        <v>54</v>
      </c>
      <c r="K5" s="4"/>
      <c r="L5" s="15"/>
      <c r="M5" s="15"/>
      <c r="N5" s="15"/>
      <c r="O5" s="15"/>
      <c r="P5" s="15"/>
      <c r="Q5" s="5"/>
      <c r="R5" s="5"/>
    </row>
    <row r="6" spans="1:18" x14ac:dyDescent="0.2">
      <c r="A6" s="356"/>
      <c r="B6" s="783"/>
      <c r="C6" s="976"/>
      <c r="D6" s="977"/>
      <c r="E6" s="977"/>
      <c r="F6" s="977"/>
      <c r="G6" s="978"/>
      <c r="K6" s="4"/>
      <c r="L6" s="15"/>
      <c r="M6" s="15"/>
      <c r="N6" s="15"/>
      <c r="O6" s="15"/>
      <c r="P6" s="15"/>
      <c r="Q6" s="5"/>
      <c r="R6" s="5"/>
    </row>
    <row r="7" spans="1:18" x14ac:dyDescent="0.2">
      <c r="A7" s="356"/>
      <c r="B7" s="786">
        <v>1995</v>
      </c>
      <c r="C7" s="979">
        <f t="shared" ref="C7:C16" si="0">SUM(E7+F7+G7)</f>
        <v>13623.056128000004</v>
      </c>
      <c r="D7" s="980">
        <f>+E7+F7</f>
        <v>9849.2561280000045</v>
      </c>
      <c r="E7" s="981">
        <v>8673.7080870000045</v>
      </c>
      <c r="F7" s="981">
        <v>1175.548041</v>
      </c>
      <c r="G7" s="982">
        <v>3773.8</v>
      </c>
      <c r="I7" s="12"/>
      <c r="J7" s="28"/>
      <c r="K7" s="4"/>
      <c r="L7" s="15"/>
      <c r="M7" s="29"/>
      <c r="N7" s="29"/>
      <c r="O7" s="15"/>
      <c r="P7" s="15"/>
      <c r="Q7" s="5"/>
      <c r="R7" s="5"/>
    </row>
    <row r="8" spans="1:18" x14ac:dyDescent="0.2">
      <c r="A8" s="356"/>
      <c r="B8" s="357">
        <v>1996</v>
      </c>
      <c r="C8" s="983">
        <f t="shared" si="0"/>
        <v>14303.139597999991</v>
      </c>
      <c r="D8" s="984">
        <f t="shared" ref="D8:D16" si="1">+E8+F8</f>
        <v>10330.839597999991</v>
      </c>
      <c r="E8" s="985">
        <v>8770.6107359999914</v>
      </c>
      <c r="F8" s="985">
        <v>1560.2288619999999</v>
      </c>
      <c r="G8" s="986">
        <v>3972.3</v>
      </c>
      <c r="I8" s="12"/>
      <c r="J8" s="28"/>
      <c r="K8" s="4"/>
      <c r="L8" s="15"/>
      <c r="M8" s="30"/>
      <c r="N8" s="30"/>
      <c r="O8" s="30"/>
      <c r="P8" s="15"/>
      <c r="Q8" s="5"/>
      <c r="R8" s="5"/>
    </row>
    <row r="9" spans="1:18" x14ac:dyDescent="0.2">
      <c r="A9" s="356"/>
      <c r="B9" s="786">
        <v>1997</v>
      </c>
      <c r="C9" s="979">
        <f t="shared" si="0"/>
        <v>15056.08015999999</v>
      </c>
      <c r="D9" s="980">
        <f t="shared" si="1"/>
        <v>12451.23015999999</v>
      </c>
      <c r="E9" s="981">
        <v>9377.8946799999903</v>
      </c>
      <c r="F9" s="981">
        <v>3073.3354799999997</v>
      </c>
      <c r="G9" s="982">
        <v>2604.85</v>
      </c>
      <c r="I9" s="12"/>
      <c r="J9" s="28"/>
      <c r="K9" s="4"/>
      <c r="L9" s="15"/>
      <c r="M9" s="30"/>
      <c r="N9" s="30"/>
      <c r="O9" s="30"/>
      <c r="P9" s="15"/>
      <c r="Q9" s="5"/>
      <c r="R9" s="5"/>
    </row>
    <row r="10" spans="1:18" x14ac:dyDescent="0.2">
      <c r="A10" s="356"/>
      <c r="B10" s="357">
        <v>1998</v>
      </c>
      <c r="C10" s="983">
        <f t="shared" si="0"/>
        <v>15775.176823</v>
      </c>
      <c r="D10" s="984">
        <f t="shared" si="1"/>
        <v>14008.576822999999</v>
      </c>
      <c r="E10" s="985">
        <v>9878.6615729999976</v>
      </c>
      <c r="F10" s="985">
        <v>4129.9152500000009</v>
      </c>
      <c r="G10" s="986">
        <v>1766.6</v>
      </c>
      <c r="I10" s="12"/>
      <c r="J10" s="28"/>
      <c r="K10" s="4"/>
      <c r="L10" s="15"/>
      <c r="M10" s="30"/>
      <c r="N10" s="30"/>
      <c r="O10" s="30"/>
      <c r="P10" s="15"/>
      <c r="Q10" s="5"/>
      <c r="R10" s="5"/>
    </row>
    <row r="11" spans="1:18" x14ac:dyDescent="0.2">
      <c r="A11" s="356"/>
      <c r="B11" s="786">
        <v>1999</v>
      </c>
      <c r="C11" s="979">
        <f t="shared" si="0"/>
        <v>16274.991559000011</v>
      </c>
      <c r="D11" s="980">
        <f t="shared" si="1"/>
        <v>14591.991559000011</v>
      </c>
      <c r="E11" s="981">
        <v>10198.991027000011</v>
      </c>
      <c r="F11" s="981">
        <v>4393.000532</v>
      </c>
      <c r="G11" s="982">
        <v>1683</v>
      </c>
      <c r="I11" s="12"/>
      <c r="J11" s="28"/>
      <c r="K11" s="4"/>
      <c r="L11" s="15"/>
      <c r="M11" s="30"/>
      <c r="N11" s="30"/>
      <c r="O11" s="30"/>
      <c r="P11" s="15"/>
      <c r="Q11" s="5"/>
      <c r="R11" s="5"/>
    </row>
    <row r="12" spans="1:18" x14ac:dyDescent="0.2">
      <c r="A12" s="356"/>
      <c r="B12" s="357">
        <v>2000</v>
      </c>
      <c r="C12" s="983">
        <f t="shared" si="0"/>
        <v>17140.395011000015</v>
      </c>
      <c r="D12" s="984">
        <f t="shared" si="1"/>
        <v>15545.595392000014</v>
      </c>
      <c r="E12" s="985">
        <v>10763.269271000014</v>
      </c>
      <c r="F12" s="985">
        <v>4782.3261210000001</v>
      </c>
      <c r="G12" s="986">
        <v>1594.7996189999999</v>
      </c>
      <c r="I12" s="12"/>
      <c r="J12" s="28"/>
      <c r="K12" s="4"/>
      <c r="L12" s="15"/>
      <c r="M12" s="15"/>
      <c r="N12" s="15"/>
      <c r="O12" s="15"/>
      <c r="P12" s="15"/>
      <c r="Q12" s="5"/>
      <c r="R12" s="5"/>
    </row>
    <row r="13" spans="1:18" x14ac:dyDescent="0.2">
      <c r="A13" s="356"/>
      <c r="B13" s="786">
        <v>2001</v>
      </c>
      <c r="C13" s="979">
        <f t="shared" si="0"/>
        <v>18199.95454499999</v>
      </c>
      <c r="D13" s="980">
        <f t="shared" si="1"/>
        <v>16628.754544999989</v>
      </c>
      <c r="E13" s="981">
        <v>10522.374724999987</v>
      </c>
      <c r="F13" s="981">
        <v>6106.3798200000001</v>
      </c>
      <c r="G13" s="982">
        <v>1571.2</v>
      </c>
      <c r="I13" s="12"/>
      <c r="J13" s="28"/>
      <c r="K13" s="4"/>
      <c r="L13" s="15"/>
      <c r="M13" s="15"/>
      <c r="N13" s="30"/>
      <c r="O13" s="15"/>
      <c r="P13" s="15"/>
      <c r="Q13" s="5"/>
      <c r="R13" s="5"/>
    </row>
    <row r="14" spans="1:18" x14ac:dyDescent="0.2">
      <c r="A14" s="356"/>
      <c r="B14" s="357">
        <v>2002</v>
      </c>
      <c r="C14" s="983">
        <f t="shared" si="0"/>
        <v>19168.140412848003</v>
      </c>
      <c r="D14" s="984">
        <f t="shared" si="1"/>
        <v>17605.325913847999</v>
      </c>
      <c r="E14" s="985">
        <v>11113.547163000001</v>
      </c>
      <c r="F14" s="985">
        <v>6491.7787508479996</v>
      </c>
      <c r="G14" s="986">
        <v>1562.8144990000035</v>
      </c>
      <c r="I14" s="12"/>
      <c r="J14" s="28"/>
      <c r="K14" s="4"/>
      <c r="L14" s="15"/>
      <c r="M14" s="15"/>
      <c r="N14" s="30"/>
      <c r="O14" s="15"/>
      <c r="P14" s="15"/>
      <c r="Q14" s="5"/>
      <c r="R14" s="5"/>
    </row>
    <row r="15" spans="1:18" x14ac:dyDescent="0.2">
      <c r="A15" s="356"/>
      <c r="B15" s="787">
        <v>2003</v>
      </c>
      <c r="C15" s="979">
        <f>SUM(E15+F15+G15)</f>
        <v>19937.226353999995</v>
      </c>
      <c r="D15" s="980">
        <f t="shared" si="1"/>
        <v>18375.335409999996</v>
      </c>
      <c r="E15" s="981">
        <v>11303.613572999999</v>
      </c>
      <c r="F15" s="981">
        <v>7071.7218369999982</v>
      </c>
      <c r="G15" s="982">
        <v>1561.8909439999998</v>
      </c>
      <c r="I15" s="12"/>
      <c r="J15" s="28"/>
      <c r="K15" s="4"/>
      <c r="L15" s="4"/>
      <c r="M15" s="4"/>
      <c r="N15" s="30"/>
      <c r="O15" s="4"/>
      <c r="P15" s="4"/>
    </row>
    <row r="16" spans="1:18" x14ac:dyDescent="0.2">
      <c r="A16" s="356"/>
      <c r="B16" s="357">
        <v>2004</v>
      </c>
      <c r="C16" s="983">
        <f t="shared" si="0"/>
        <v>21287.724389999999</v>
      </c>
      <c r="D16" s="984">
        <f t="shared" si="1"/>
        <v>19640.651109999999</v>
      </c>
      <c r="E16" s="985">
        <v>12001.305316</v>
      </c>
      <c r="F16" s="985">
        <v>7639.3457940000008</v>
      </c>
      <c r="G16" s="986">
        <v>1647.0732800000003</v>
      </c>
      <c r="I16" s="12"/>
      <c r="J16" s="28"/>
      <c r="K16" s="4"/>
      <c r="L16" s="4"/>
      <c r="M16" s="4"/>
      <c r="N16" s="30"/>
      <c r="O16" s="4"/>
      <c r="P16" s="4"/>
    </row>
    <row r="17" spans="1:14" x14ac:dyDescent="0.2">
      <c r="A17" s="356"/>
      <c r="B17" s="786">
        <v>2005</v>
      </c>
      <c r="C17" s="979">
        <f t="shared" ref="C17:C25" si="2">SUM(E17+F17+G17)</f>
        <v>22400.244750429476</v>
      </c>
      <c r="D17" s="980">
        <f t="shared" ref="D17:D25" si="3">+E17+F17</f>
        <v>20701.382880222223</v>
      </c>
      <c r="E17" s="981">
        <v>12914.287800222222</v>
      </c>
      <c r="F17" s="981">
        <v>7787.095080000001</v>
      </c>
      <c r="G17" s="982">
        <v>1698.8618702072531</v>
      </c>
      <c r="I17" s="12"/>
      <c r="J17" s="28"/>
      <c r="N17" s="30"/>
    </row>
    <row r="18" spans="1:14" x14ac:dyDescent="0.2">
      <c r="A18" s="356"/>
      <c r="B18" s="357">
        <v>2006</v>
      </c>
      <c r="C18" s="983">
        <f t="shared" si="2"/>
        <v>24046.126090621408</v>
      </c>
      <c r="D18" s="984">
        <f t="shared" si="3"/>
        <v>22290.061152999995</v>
      </c>
      <c r="E18" s="985">
        <v>14043.638326999999</v>
      </c>
      <c r="F18" s="985">
        <v>8246.4228259999982</v>
      </c>
      <c r="G18" s="986">
        <v>1756.0649376214139</v>
      </c>
      <c r="I18" s="12"/>
      <c r="J18" s="28"/>
      <c r="N18" s="30"/>
    </row>
    <row r="19" spans="1:14" x14ac:dyDescent="0.2">
      <c r="A19" s="356"/>
      <c r="B19" s="786">
        <v>2007</v>
      </c>
      <c r="C19" s="979">
        <f t="shared" si="2"/>
        <v>26464.304604659999</v>
      </c>
      <c r="D19" s="980">
        <f t="shared" si="3"/>
        <v>24721.748552999998</v>
      </c>
      <c r="E19" s="981">
        <v>15032.180854999999</v>
      </c>
      <c r="F19" s="981">
        <v>9689.5676979999989</v>
      </c>
      <c r="G19" s="982">
        <v>1742.5560516600001</v>
      </c>
      <c r="J19" s="28"/>
      <c r="N19" s="30"/>
    </row>
    <row r="20" spans="1:14" x14ac:dyDescent="0.2">
      <c r="A20" s="356"/>
      <c r="B20" s="357">
        <v>2008</v>
      </c>
      <c r="C20" s="983">
        <f t="shared" si="2"/>
        <v>28833.06706300001</v>
      </c>
      <c r="D20" s="984">
        <f t="shared" si="3"/>
        <v>26964.41459600001</v>
      </c>
      <c r="E20" s="985">
        <v>16297.176545000008</v>
      </c>
      <c r="F20" s="985">
        <v>10667.238051000004</v>
      </c>
      <c r="G20" s="986">
        <v>1868.6524669999999</v>
      </c>
      <c r="H20" s="5"/>
      <c r="J20" s="28"/>
      <c r="N20" s="30"/>
    </row>
    <row r="21" spans="1:14" x14ac:dyDescent="0.2">
      <c r="A21" s="356"/>
      <c r="B21" s="787">
        <v>2009</v>
      </c>
      <c r="C21" s="979">
        <f t="shared" si="2"/>
        <v>29109.838815000003</v>
      </c>
      <c r="D21" s="980">
        <f t="shared" si="3"/>
        <v>27087.005777000002</v>
      </c>
      <c r="E21" s="981">
        <v>17000.664145000002</v>
      </c>
      <c r="F21" s="981">
        <v>10086.341632</v>
      </c>
      <c r="G21" s="982">
        <v>2022.8330379999998</v>
      </c>
      <c r="H21" s="5"/>
      <c r="J21" s="28"/>
      <c r="N21" s="30"/>
    </row>
    <row r="22" spans="1:14" x14ac:dyDescent="0.2">
      <c r="A22" s="356"/>
      <c r="B22" s="334">
        <v>2010</v>
      </c>
      <c r="C22" s="983">
        <f t="shared" si="2"/>
        <v>31798.367258000002</v>
      </c>
      <c r="D22" s="984">
        <f t="shared" si="3"/>
        <v>29436.175124000001</v>
      </c>
      <c r="E22" s="985">
        <v>18195.325098000001</v>
      </c>
      <c r="F22" s="985">
        <v>11240.850026</v>
      </c>
      <c r="G22" s="986">
        <v>2362.1921340000008</v>
      </c>
      <c r="H22" s="5"/>
      <c r="J22" s="28"/>
      <c r="N22" s="30"/>
    </row>
    <row r="23" spans="1:14" x14ac:dyDescent="0.2">
      <c r="A23" s="356"/>
      <c r="B23" s="787">
        <v>2011</v>
      </c>
      <c r="C23" s="979">
        <f t="shared" si="2"/>
        <v>34378.279759024772</v>
      </c>
      <c r="D23" s="980">
        <f t="shared" si="3"/>
        <v>31820.350805251102</v>
      </c>
      <c r="E23" s="981">
        <v>19753.040698251105</v>
      </c>
      <c r="F23" s="981">
        <v>12067.310106999999</v>
      </c>
      <c r="G23" s="982">
        <v>2557.9289537736718</v>
      </c>
      <c r="H23" s="5"/>
      <c r="J23" s="28"/>
      <c r="N23" s="30"/>
    </row>
    <row r="24" spans="1:14" x14ac:dyDescent="0.2">
      <c r="A24" s="356"/>
      <c r="B24" s="334">
        <v>2012</v>
      </c>
      <c r="C24" s="983">
        <f t="shared" si="2"/>
        <v>36323.13966340795</v>
      </c>
      <c r="D24" s="984">
        <f t="shared" si="3"/>
        <v>33648.185935000001</v>
      </c>
      <c r="E24" s="985">
        <v>20947.295381</v>
      </c>
      <c r="F24" s="985">
        <v>12700.890554</v>
      </c>
      <c r="G24" s="986">
        <v>2674.953728407947</v>
      </c>
      <c r="H24" s="5"/>
      <c r="J24" s="28"/>
      <c r="N24" s="30"/>
    </row>
    <row r="25" spans="1:14" x14ac:dyDescent="0.2">
      <c r="A25" s="356"/>
      <c r="B25" s="787">
        <v>2013</v>
      </c>
      <c r="C25" s="979">
        <f t="shared" si="2"/>
        <v>38275.164241306404</v>
      </c>
      <c r="D25" s="980">
        <f t="shared" si="3"/>
        <v>35609.652699999999</v>
      </c>
      <c r="E25" s="981">
        <v>21935.480477000001</v>
      </c>
      <c r="F25" s="981">
        <v>13674.172223</v>
      </c>
      <c r="G25" s="982">
        <v>2665.5115413064059</v>
      </c>
      <c r="H25" s="5"/>
      <c r="J25" s="28"/>
      <c r="N25" s="30"/>
    </row>
    <row r="26" spans="1:14" x14ac:dyDescent="0.2">
      <c r="A26" s="356"/>
      <c r="B26" s="334">
        <v>2014</v>
      </c>
      <c r="C26" s="983">
        <f t="shared" ref="C26:C31" si="4">SUM(E26+F26+G26)</f>
        <v>40031.348837330988</v>
      </c>
      <c r="D26" s="984">
        <f t="shared" ref="D26:D31" si="5">+E26+F26</f>
        <v>37327.776994197193</v>
      </c>
      <c r="E26" s="985">
        <f>22779.9960573972+1.975936</f>
        <v>22781.971993397197</v>
      </c>
      <c r="F26" s="985">
        <v>14545.805000799999</v>
      </c>
      <c r="G26" s="986">
        <v>2703.5718431337964</v>
      </c>
      <c r="H26" s="5"/>
      <c r="J26" s="28"/>
      <c r="N26" s="30"/>
    </row>
    <row r="27" spans="1:14" x14ac:dyDescent="0.2">
      <c r="A27" s="356"/>
      <c r="B27" s="787">
        <v>2015</v>
      </c>
      <c r="C27" s="979">
        <f t="shared" si="4"/>
        <v>42333.76078033018</v>
      </c>
      <c r="D27" s="980">
        <f t="shared" si="5"/>
        <v>39774.744600000005</v>
      </c>
      <c r="E27" s="981">
        <v>23494.010900000001</v>
      </c>
      <c r="F27" s="981">
        <v>16280.733700000001</v>
      </c>
      <c r="G27" s="982">
        <v>2559.0161803301708</v>
      </c>
      <c r="H27" s="5"/>
      <c r="J27" s="28"/>
      <c r="N27" s="30"/>
    </row>
    <row r="28" spans="1:14" x14ac:dyDescent="0.2">
      <c r="A28" s="356"/>
      <c r="B28" s="784">
        <v>2016</v>
      </c>
      <c r="C28" s="983">
        <f t="shared" si="4"/>
        <v>45532.892131120541</v>
      </c>
      <c r="D28" s="984">
        <f t="shared" si="5"/>
        <v>43366.99911070001</v>
      </c>
      <c r="E28" s="985">
        <v>22886.332354000002</v>
      </c>
      <c r="F28" s="985">
        <v>20480.666756700004</v>
      </c>
      <c r="G28" s="986">
        <v>2165.8930204205285</v>
      </c>
      <c r="H28" s="5"/>
      <c r="J28" s="28"/>
      <c r="N28" s="30"/>
    </row>
    <row r="29" spans="1:14" x14ac:dyDescent="0.2">
      <c r="A29" s="356"/>
      <c r="B29" s="1091">
        <v>2017</v>
      </c>
      <c r="C29" s="979">
        <f t="shared" si="4"/>
        <v>46578.443952766262</v>
      </c>
      <c r="D29" s="980">
        <f t="shared" si="5"/>
        <v>44223.25281726996</v>
      </c>
      <c r="E29" s="981">
        <v>22399.543247369966</v>
      </c>
      <c r="F29" s="981">
        <v>21823.709569899995</v>
      </c>
      <c r="G29" s="982">
        <v>2355.1911354963022</v>
      </c>
      <c r="H29" s="5"/>
      <c r="J29" s="28"/>
      <c r="N29" s="30"/>
    </row>
    <row r="30" spans="1:14" x14ac:dyDescent="0.2">
      <c r="A30" s="356"/>
      <c r="B30" s="1238">
        <v>2018</v>
      </c>
      <c r="C30" s="983">
        <f t="shared" si="4"/>
        <v>48398.55041491711</v>
      </c>
      <c r="D30" s="984">
        <f t="shared" si="5"/>
        <v>45867.787842190068</v>
      </c>
      <c r="E30" s="985">
        <v>22073.874790390117</v>
      </c>
      <c r="F30" s="985">
        <v>23793.913051799947</v>
      </c>
      <c r="G30" s="986">
        <v>2530.7625727270442</v>
      </c>
      <c r="H30" s="5"/>
      <c r="J30" s="28"/>
      <c r="N30" s="30"/>
    </row>
    <row r="31" spans="1:14" x14ac:dyDescent="0.2">
      <c r="A31" s="356"/>
      <c r="B31" s="1239">
        <v>2019</v>
      </c>
      <c r="C31" s="979">
        <f t="shared" si="4"/>
        <v>49940.650075603022</v>
      </c>
      <c r="D31" s="980">
        <f t="shared" si="5"/>
        <v>47420.737912000004</v>
      </c>
      <c r="E31" s="981">
        <v>22355.024662000003</v>
      </c>
      <c r="F31" s="981">
        <v>25065.713250000001</v>
      </c>
      <c r="G31" s="982">
        <v>2519.9121636030145</v>
      </c>
      <c r="H31" s="5"/>
      <c r="J31" s="28"/>
      <c r="N31" s="30"/>
    </row>
    <row r="32" spans="1:14" ht="13.5" thickBot="1" x14ac:dyDescent="0.25">
      <c r="A32" s="356"/>
      <c r="B32" s="785"/>
      <c r="C32" s="987"/>
      <c r="D32" s="988"/>
      <c r="E32" s="989"/>
      <c r="F32" s="989"/>
      <c r="G32" s="990"/>
      <c r="H32" s="5"/>
      <c r="N32" s="30"/>
    </row>
    <row r="33" spans="2:8" x14ac:dyDescent="0.2">
      <c r="B33" s="55" t="s">
        <v>356</v>
      </c>
      <c r="C33" s="991">
        <f>(C31/C30)-1</f>
        <v>3.1862517523058242E-2</v>
      </c>
      <c r="D33" s="992">
        <f>(D31/D30)-1</f>
        <v>3.3857095422890726E-2</v>
      </c>
      <c r="E33" s="992">
        <f>(E31/E30)-1</f>
        <v>1.2736770244446971E-2</v>
      </c>
      <c r="F33" s="992">
        <f>(F31/F30)-1</f>
        <v>5.3450653342781873E-2</v>
      </c>
      <c r="G33" s="993">
        <f>(G31/G30)-1</f>
        <v>-4.2874069819744953E-3</v>
      </c>
      <c r="H33" s="5"/>
    </row>
    <row r="34" spans="2:8" x14ac:dyDescent="0.2">
      <c r="B34" s="269" t="s">
        <v>357</v>
      </c>
      <c r="C34" s="994">
        <f>((C31/C26)^(1/5))-1</f>
        <v>4.5227418146271292E-2</v>
      </c>
      <c r="D34" s="995">
        <f>((D31/D26)^(1/5))-1</f>
        <v>4.9028376590160683E-2</v>
      </c>
      <c r="E34" s="995">
        <f>((E31/E26)^(1/5))-1</f>
        <v>-3.7765325486514012E-3</v>
      </c>
      <c r="F34" s="995">
        <f>((F31/F26)^(1/5))-1</f>
        <v>0.11498355293790419</v>
      </c>
      <c r="G34" s="996">
        <f>((G31/G26)^(1/5))-1</f>
        <v>-1.3971432505284542E-2</v>
      </c>
      <c r="H34" s="5"/>
    </row>
    <row r="35" spans="2:8" x14ac:dyDescent="0.2">
      <c r="B35" s="270" t="s">
        <v>358</v>
      </c>
      <c r="C35" s="997">
        <f>(C31/C21)-1</f>
        <v>0.7155934937664139</v>
      </c>
      <c r="D35" s="998">
        <f>(D31/D21)-1</f>
        <v>0.7506821648137163</v>
      </c>
      <c r="E35" s="998">
        <f>(E31/E21)-1</f>
        <v>0.31495007908704253</v>
      </c>
      <c r="F35" s="998">
        <f>(F31/F21)-1</f>
        <v>1.4851144413427697</v>
      </c>
      <c r="G35" s="999">
        <f>(G31/G21)-1</f>
        <v>0.24573413438732583</v>
      </c>
      <c r="H35" s="5"/>
    </row>
    <row r="36" spans="2:8" ht="13.5" thickBot="1" x14ac:dyDescent="0.25">
      <c r="B36" s="271" t="s">
        <v>359</v>
      </c>
      <c r="C36" s="1000">
        <f>((C30/C20)^(1/10))-1</f>
        <v>5.3159503801064378E-2</v>
      </c>
      <c r="D36" s="1001">
        <f>((D31/D21)^(1/10))-1</f>
        <v>5.7598267577738005E-2</v>
      </c>
      <c r="E36" s="1001">
        <f>((E31/E21)^(1/10))-1</f>
        <v>2.7758143335303131E-2</v>
      </c>
      <c r="F36" s="1001">
        <f>((F31/F21)^(1/10))-1</f>
        <v>9.5303913280239794E-2</v>
      </c>
      <c r="G36" s="1002">
        <f>((G31/G21)^(1/10))-1</f>
        <v>2.2215675433097326E-2</v>
      </c>
    </row>
    <row r="38" spans="2:8" x14ac:dyDescent="0.2">
      <c r="B38" s="21"/>
    </row>
  </sheetData>
  <mergeCells count="2">
    <mergeCell ref="D4:F4"/>
    <mergeCell ref="B4:B5"/>
  </mergeCells>
  <phoneticPr fontId="20" type="noConversion"/>
  <pageMargins left="1.07" right="1.1599999999999999" top="1.03" bottom="1" header="0" footer="0"/>
  <pageSetup paperSize="9" scale="57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AC89"/>
  <sheetViews>
    <sheetView view="pageBreakPreview" zoomScale="90" zoomScaleNormal="90" zoomScaleSheetLayoutView="90" workbookViewId="0">
      <selection activeCell="R38" sqref="R38"/>
    </sheetView>
  </sheetViews>
  <sheetFormatPr baseColWidth="10" defaultRowHeight="12.75" x14ac:dyDescent="0.2"/>
  <cols>
    <col min="1" max="1" width="3" style="356" customWidth="1"/>
    <col min="2" max="3" width="11.140625" customWidth="1"/>
    <col min="4" max="4" width="12.42578125" customWidth="1"/>
    <col min="5" max="5" width="7.7109375" customWidth="1"/>
    <col min="6" max="6" width="7.140625" customWidth="1"/>
    <col min="7" max="7" width="7.42578125" customWidth="1"/>
    <col min="8" max="8" width="7.5703125" customWidth="1"/>
    <col min="9" max="9" width="9.5703125" customWidth="1"/>
    <col min="10" max="10" width="8.28515625" customWidth="1"/>
    <col min="11" max="11" width="7.5703125" customWidth="1"/>
    <col min="12" max="12" width="9.42578125" customWidth="1"/>
    <col min="14" max="14" width="12.5703125" customWidth="1"/>
    <col min="16" max="16" width="2.140625" style="356" customWidth="1"/>
    <col min="17" max="17" width="14" customWidth="1"/>
    <col min="18" max="18" width="10" style="411" customWidth="1"/>
    <col min="19" max="26" width="11.42578125" style="411"/>
    <col min="27" max="27" width="11.7109375" style="411" bestFit="1" customWidth="1"/>
    <col min="28" max="28" width="11.85546875" style="411" bestFit="1" customWidth="1"/>
    <col min="29" max="29" width="11.42578125" style="411"/>
  </cols>
  <sheetData>
    <row r="1" spans="1:29" ht="15.75" x14ac:dyDescent="0.25">
      <c r="A1" s="964" t="s">
        <v>55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</row>
    <row r="2" spans="1:29" x14ac:dyDescent="0.2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R2" s="416"/>
    </row>
    <row r="3" spans="1:29" ht="13.5" thickBot="1" x14ac:dyDescent="0.25"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R3" s="416"/>
    </row>
    <row r="4" spans="1:29" s="7" customFormat="1" ht="18" customHeight="1" x14ac:dyDescent="0.2">
      <c r="A4" s="965"/>
      <c r="B4" s="1324" t="s">
        <v>18</v>
      </c>
      <c r="C4" s="1325"/>
      <c r="D4" s="1194" t="s">
        <v>27</v>
      </c>
      <c r="E4" s="1321" t="s">
        <v>19</v>
      </c>
      <c r="F4" s="1309"/>
      <c r="G4" s="1309"/>
      <c r="H4" s="1267"/>
      <c r="I4" s="1319" t="s">
        <v>25</v>
      </c>
      <c r="J4" s="1328" t="s">
        <v>20</v>
      </c>
      <c r="K4" s="1268"/>
      <c r="L4" s="1268"/>
      <c r="M4" s="1269"/>
      <c r="N4" s="1315" t="s">
        <v>26</v>
      </c>
      <c r="O4" s="1195" t="s">
        <v>45</v>
      </c>
      <c r="P4" s="965"/>
      <c r="R4" s="415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</row>
    <row r="5" spans="1:29" s="7" customFormat="1" ht="18" customHeight="1" thickBot="1" x14ac:dyDescent="0.25">
      <c r="A5" s="965"/>
      <c r="B5" s="1326"/>
      <c r="C5" s="1327"/>
      <c r="D5" s="1196" t="s">
        <v>28</v>
      </c>
      <c r="E5" s="1197" t="s">
        <v>21</v>
      </c>
      <c r="F5" s="1198" t="s">
        <v>22</v>
      </c>
      <c r="G5" s="1198" t="s">
        <v>23</v>
      </c>
      <c r="H5" s="1199" t="s">
        <v>24</v>
      </c>
      <c r="I5" s="1320"/>
      <c r="J5" s="1200" t="s">
        <v>21</v>
      </c>
      <c r="K5" s="1198" t="s">
        <v>22</v>
      </c>
      <c r="L5" s="1201" t="s">
        <v>23</v>
      </c>
      <c r="M5" s="1202" t="s">
        <v>24</v>
      </c>
      <c r="N5" s="1316"/>
      <c r="O5" s="1203" t="s">
        <v>44</v>
      </c>
      <c r="P5" s="965"/>
      <c r="R5" s="414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</row>
    <row r="6" spans="1:29" s="7" customFormat="1" x14ac:dyDescent="0.2">
      <c r="A6" s="965"/>
      <c r="B6" s="788"/>
      <c r="C6" s="795"/>
      <c r="D6" s="798"/>
      <c r="E6" s="790"/>
      <c r="F6" s="791"/>
      <c r="G6" s="791"/>
      <c r="H6" s="791"/>
      <c r="I6" s="797"/>
      <c r="J6" s="792"/>
      <c r="K6" s="1254"/>
      <c r="L6" s="789"/>
      <c r="M6" s="789"/>
      <c r="N6" s="796"/>
      <c r="O6" s="793"/>
      <c r="P6" s="965"/>
      <c r="R6" s="414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</row>
    <row r="7" spans="1:29" ht="12" customHeight="1" x14ac:dyDescent="0.2">
      <c r="B7" s="1317">
        <v>1995</v>
      </c>
      <c r="C7" s="1318"/>
      <c r="D7" s="810">
        <f t="shared" ref="D7:D25" si="0">SUM(I7,N7)</f>
        <v>2491835</v>
      </c>
      <c r="E7" s="811">
        <v>7</v>
      </c>
      <c r="F7" s="812">
        <v>28</v>
      </c>
      <c r="G7" s="812">
        <v>156</v>
      </c>
      <c r="H7" s="812">
        <v>15</v>
      </c>
      <c r="I7" s="813">
        <f t="shared" ref="I7:I25" si="1">SUM(E7,F7,G7,H7)</f>
        <v>206</v>
      </c>
      <c r="J7" s="811"/>
      <c r="K7" s="1255">
        <v>13</v>
      </c>
      <c r="L7" s="814">
        <v>3747</v>
      </c>
      <c r="M7" s="814">
        <v>2487869</v>
      </c>
      <c r="N7" s="810">
        <f t="shared" ref="N7:N22" si="2">SUM(K7,L7,M7)</f>
        <v>2491629</v>
      </c>
      <c r="O7" s="815"/>
      <c r="R7" s="416"/>
    </row>
    <row r="8" spans="1:29" ht="12" customHeight="1" x14ac:dyDescent="0.2">
      <c r="B8" s="1322">
        <v>1996</v>
      </c>
      <c r="C8" s="1323"/>
      <c r="D8" s="799">
        <f t="shared" si="0"/>
        <v>2775713</v>
      </c>
      <c r="E8" s="794">
        <v>8</v>
      </c>
      <c r="F8" s="800">
        <v>28</v>
      </c>
      <c r="G8" s="800">
        <v>153</v>
      </c>
      <c r="H8" s="800">
        <v>10</v>
      </c>
      <c r="I8" s="801">
        <f t="shared" si="1"/>
        <v>199</v>
      </c>
      <c r="J8" s="794"/>
      <c r="K8" s="1256">
        <v>15</v>
      </c>
      <c r="L8" s="802">
        <v>4866</v>
      </c>
      <c r="M8" s="802">
        <v>2770633</v>
      </c>
      <c r="N8" s="799">
        <f t="shared" si="2"/>
        <v>2775514</v>
      </c>
      <c r="O8" s="803">
        <f t="shared" ref="O8:O25" si="3">+(D8-D7)/D8</f>
        <v>0.10227210089803954</v>
      </c>
      <c r="R8" s="416"/>
    </row>
    <row r="9" spans="1:29" ht="12" customHeight="1" x14ac:dyDescent="0.2">
      <c r="B9" s="1317">
        <v>1997</v>
      </c>
      <c r="C9" s="1318"/>
      <c r="D9" s="810">
        <f t="shared" si="0"/>
        <v>2964315</v>
      </c>
      <c r="E9" s="811">
        <v>11</v>
      </c>
      <c r="F9" s="812">
        <v>35</v>
      </c>
      <c r="G9" s="812">
        <v>157</v>
      </c>
      <c r="H9" s="812">
        <v>9</v>
      </c>
      <c r="I9" s="813">
        <f t="shared" si="1"/>
        <v>212</v>
      </c>
      <c r="J9" s="811"/>
      <c r="K9" s="1255">
        <v>17</v>
      </c>
      <c r="L9" s="814">
        <v>4861</v>
      </c>
      <c r="M9" s="814">
        <v>2959225</v>
      </c>
      <c r="N9" s="810">
        <f t="shared" si="2"/>
        <v>2964103</v>
      </c>
      <c r="O9" s="815">
        <f t="shared" si="3"/>
        <v>6.3624142508471607E-2</v>
      </c>
      <c r="R9" s="416"/>
    </row>
    <row r="10" spans="1:29" ht="12" customHeight="1" x14ac:dyDescent="0.2">
      <c r="B10" s="1322">
        <v>1998</v>
      </c>
      <c r="C10" s="1323"/>
      <c r="D10" s="799">
        <f t="shared" si="0"/>
        <v>3057320</v>
      </c>
      <c r="E10" s="794">
        <v>17</v>
      </c>
      <c r="F10" s="800">
        <v>37</v>
      </c>
      <c r="G10" s="800">
        <v>163</v>
      </c>
      <c r="H10" s="800">
        <v>1</v>
      </c>
      <c r="I10" s="801">
        <f t="shared" si="1"/>
        <v>218</v>
      </c>
      <c r="J10" s="794"/>
      <c r="K10" s="1256">
        <v>13</v>
      </c>
      <c r="L10" s="802">
        <v>5372</v>
      </c>
      <c r="M10" s="802">
        <v>3051717</v>
      </c>
      <c r="N10" s="799">
        <f t="shared" si="2"/>
        <v>3057102</v>
      </c>
      <c r="O10" s="803">
        <f t="shared" si="3"/>
        <v>3.0420433582353173E-2</v>
      </c>
      <c r="R10" s="416"/>
    </row>
    <row r="11" spans="1:29" ht="12" customHeight="1" x14ac:dyDescent="0.2">
      <c r="B11" s="1317">
        <v>1999</v>
      </c>
      <c r="C11" s="1318"/>
      <c r="D11" s="810">
        <f t="shared" si="0"/>
        <v>3217058</v>
      </c>
      <c r="E11" s="811">
        <v>13</v>
      </c>
      <c r="F11" s="812">
        <v>41</v>
      </c>
      <c r="G11" s="812">
        <v>168</v>
      </c>
      <c r="H11" s="812">
        <v>1</v>
      </c>
      <c r="I11" s="813">
        <f t="shared" si="1"/>
        <v>223</v>
      </c>
      <c r="J11" s="811"/>
      <c r="K11" s="1255">
        <v>20</v>
      </c>
      <c r="L11" s="814">
        <v>5774</v>
      </c>
      <c r="M11" s="814">
        <v>3211041</v>
      </c>
      <c r="N11" s="810">
        <f t="shared" si="2"/>
        <v>3216835</v>
      </c>
      <c r="O11" s="815">
        <f t="shared" si="3"/>
        <v>4.9653441125400911E-2</v>
      </c>
      <c r="R11" s="416"/>
    </row>
    <row r="12" spans="1:29" ht="12" customHeight="1" x14ac:dyDescent="0.2">
      <c r="B12" s="1322">
        <v>2000</v>
      </c>
      <c r="C12" s="1323"/>
      <c r="D12" s="799">
        <f t="shared" si="0"/>
        <v>3352209</v>
      </c>
      <c r="E12" s="794">
        <v>15</v>
      </c>
      <c r="F12" s="800">
        <v>40</v>
      </c>
      <c r="G12" s="800">
        <v>174</v>
      </c>
      <c r="H12" s="800"/>
      <c r="I12" s="801">
        <f t="shared" si="1"/>
        <v>229</v>
      </c>
      <c r="J12" s="794"/>
      <c r="K12" s="1256">
        <v>9</v>
      </c>
      <c r="L12" s="802">
        <v>6259</v>
      </c>
      <c r="M12" s="802">
        <v>3345712</v>
      </c>
      <c r="N12" s="799">
        <f t="shared" si="2"/>
        <v>3351980</v>
      </c>
      <c r="O12" s="803">
        <f t="shared" si="3"/>
        <v>4.0316996941419825E-2</v>
      </c>
      <c r="R12" s="416"/>
    </row>
    <row r="13" spans="1:29" ht="12" customHeight="1" x14ac:dyDescent="0.2">
      <c r="B13" s="1317">
        <v>2001</v>
      </c>
      <c r="C13" s="1318"/>
      <c r="D13" s="810">
        <f t="shared" si="0"/>
        <v>3462851</v>
      </c>
      <c r="E13" s="811">
        <v>23</v>
      </c>
      <c r="F13" s="812">
        <v>38</v>
      </c>
      <c r="G13" s="812">
        <v>180</v>
      </c>
      <c r="H13" s="812"/>
      <c r="I13" s="813">
        <f t="shared" si="1"/>
        <v>241</v>
      </c>
      <c r="J13" s="811"/>
      <c r="K13" s="1255">
        <v>9</v>
      </c>
      <c r="L13" s="814">
        <v>6752</v>
      </c>
      <c r="M13" s="814">
        <v>3455849</v>
      </c>
      <c r="N13" s="810">
        <f t="shared" si="2"/>
        <v>3462610</v>
      </c>
      <c r="O13" s="815">
        <f t="shared" si="3"/>
        <v>3.1951129286244197E-2</v>
      </c>
      <c r="R13" s="416"/>
    </row>
    <row r="14" spans="1:29" ht="12" customHeight="1" x14ac:dyDescent="0.2">
      <c r="B14" s="1322">
        <v>2002</v>
      </c>
      <c r="C14" s="1323"/>
      <c r="D14" s="799">
        <f t="shared" si="0"/>
        <v>3614484</v>
      </c>
      <c r="E14" s="794">
        <v>32</v>
      </c>
      <c r="F14" s="800">
        <v>41</v>
      </c>
      <c r="G14" s="800">
        <v>188</v>
      </c>
      <c r="H14" s="800"/>
      <c r="I14" s="801">
        <f t="shared" si="1"/>
        <v>261</v>
      </c>
      <c r="J14" s="794"/>
      <c r="K14" s="1256">
        <v>11</v>
      </c>
      <c r="L14" s="802">
        <v>7166</v>
      </c>
      <c r="M14" s="802">
        <v>3607046</v>
      </c>
      <c r="N14" s="799">
        <f t="shared" si="2"/>
        <v>3614223</v>
      </c>
      <c r="O14" s="803">
        <f t="shared" si="3"/>
        <v>4.1951492937857798E-2</v>
      </c>
      <c r="R14" s="416"/>
    </row>
    <row r="15" spans="1:29" ht="12" customHeight="1" x14ac:dyDescent="0.2">
      <c r="B15" s="1317">
        <v>2003</v>
      </c>
      <c r="C15" s="1318"/>
      <c r="D15" s="810">
        <f t="shared" si="0"/>
        <v>3727266</v>
      </c>
      <c r="E15" s="811">
        <v>37</v>
      </c>
      <c r="F15" s="812">
        <v>35</v>
      </c>
      <c r="G15" s="812">
        <v>175</v>
      </c>
      <c r="H15" s="812"/>
      <c r="I15" s="813">
        <f t="shared" si="1"/>
        <v>247</v>
      </c>
      <c r="J15" s="811"/>
      <c r="K15" s="1255">
        <v>12</v>
      </c>
      <c r="L15" s="814">
        <v>7598</v>
      </c>
      <c r="M15" s="814">
        <v>3719409</v>
      </c>
      <c r="N15" s="810">
        <f t="shared" si="2"/>
        <v>3727019</v>
      </c>
      <c r="O15" s="815">
        <f t="shared" si="3"/>
        <v>3.0258639979008742E-2</v>
      </c>
      <c r="R15" s="416"/>
    </row>
    <row r="16" spans="1:29" ht="12" customHeight="1" x14ac:dyDescent="0.2">
      <c r="B16" s="1322">
        <v>2004</v>
      </c>
      <c r="C16" s="1323"/>
      <c r="D16" s="799">
        <f t="shared" si="0"/>
        <v>3860515</v>
      </c>
      <c r="E16" s="794">
        <v>37</v>
      </c>
      <c r="F16" s="800">
        <v>33</v>
      </c>
      <c r="G16" s="800">
        <v>175</v>
      </c>
      <c r="H16" s="800"/>
      <c r="I16" s="801">
        <f t="shared" si="1"/>
        <v>245</v>
      </c>
      <c r="J16" s="794"/>
      <c r="K16" s="1256">
        <v>19</v>
      </c>
      <c r="L16" s="802">
        <v>8120</v>
      </c>
      <c r="M16" s="802">
        <v>3852131</v>
      </c>
      <c r="N16" s="799">
        <f t="shared" si="2"/>
        <v>3860270</v>
      </c>
      <c r="O16" s="803">
        <f t="shared" si="3"/>
        <v>3.45158612257691E-2</v>
      </c>
      <c r="R16" s="416"/>
    </row>
    <row r="17" spans="2:18" ht="12" customHeight="1" x14ac:dyDescent="0.2">
      <c r="B17" s="1317">
        <v>2005</v>
      </c>
      <c r="C17" s="1318"/>
      <c r="D17" s="810">
        <f t="shared" si="0"/>
        <v>3977100</v>
      </c>
      <c r="E17" s="811">
        <v>36</v>
      </c>
      <c r="F17" s="812">
        <v>36</v>
      </c>
      <c r="G17" s="812">
        <v>172</v>
      </c>
      <c r="H17" s="812"/>
      <c r="I17" s="813">
        <f t="shared" si="1"/>
        <v>244</v>
      </c>
      <c r="J17" s="811"/>
      <c r="K17" s="1255">
        <v>18</v>
      </c>
      <c r="L17" s="814">
        <v>8727</v>
      </c>
      <c r="M17" s="814">
        <v>3968111</v>
      </c>
      <c r="N17" s="810">
        <f t="shared" si="2"/>
        <v>3976856</v>
      </c>
      <c r="O17" s="815">
        <f t="shared" si="3"/>
        <v>2.9314073068316109E-2</v>
      </c>
      <c r="R17" s="416"/>
    </row>
    <row r="18" spans="2:18" ht="12" customHeight="1" x14ac:dyDescent="0.2">
      <c r="B18" s="1322">
        <v>2006</v>
      </c>
      <c r="C18" s="1323"/>
      <c r="D18" s="799">
        <f t="shared" si="0"/>
        <v>4165274</v>
      </c>
      <c r="E18" s="794">
        <v>38</v>
      </c>
      <c r="F18" s="800">
        <v>36</v>
      </c>
      <c r="G18" s="800">
        <v>163</v>
      </c>
      <c r="H18" s="800"/>
      <c r="I18" s="801">
        <f t="shared" si="1"/>
        <v>237</v>
      </c>
      <c r="J18" s="794"/>
      <c r="K18" s="1256">
        <v>22</v>
      </c>
      <c r="L18" s="802">
        <v>9454</v>
      </c>
      <c r="M18" s="802">
        <v>4155561</v>
      </c>
      <c r="N18" s="799">
        <f t="shared" si="2"/>
        <v>4165037</v>
      </c>
      <c r="O18" s="803">
        <f t="shared" si="3"/>
        <v>4.5176859913657538E-2</v>
      </c>
      <c r="R18" s="416"/>
    </row>
    <row r="19" spans="2:18" ht="12" customHeight="1" x14ac:dyDescent="0.2">
      <c r="B19" s="1317">
        <v>2007</v>
      </c>
      <c r="C19" s="1318"/>
      <c r="D19" s="810">
        <f t="shared" si="0"/>
        <v>4359862</v>
      </c>
      <c r="E19" s="811">
        <v>43</v>
      </c>
      <c r="F19" s="812">
        <v>34</v>
      </c>
      <c r="G19" s="812">
        <v>173</v>
      </c>
      <c r="H19" s="812"/>
      <c r="I19" s="813">
        <f t="shared" si="1"/>
        <v>250</v>
      </c>
      <c r="J19" s="811"/>
      <c r="K19" s="1255">
        <v>25</v>
      </c>
      <c r="L19" s="814">
        <v>10314</v>
      </c>
      <c r="M19" s="814">
        <v>4349273</v>
      </c>
      <c r="N19" s="810">
        <f t="shared" si="2"/>
        <v>4359612</v>
      </c>
      <c r="O19" s="815">
        <f t="shared" si="3"/>
        <v>4.4631687883699069E-2</v>
      </c>
      <c r="R19" s="416"/>
    </row>
    <row r="20" spans="2:18" ht="12" customHeight="1" x14ac:dyDescent="0.2">
      <c r="B20" s="1322">
        <v>2008</v>
      </c>
      <c r="C20" s="1323"/>
      <c r="D20" s="799">
        <f t="shared" si="0"/>
        <v>4624792</v>
      </c>
      <c r="E20" s="794">
        <v>44</v>
      </c>
      <c r="F20" s="800">
        <v>34</v>
      </c>
      <c r="G20" s="800">
        <v>180</v>
      </c>
      <c r="H20" s="800"/>
      <c r="I20" s="801">
        <f t="shared" si="1"/>
        <v>258</v>
      </c>
      <c r="J20" s="794"/>
      <c r="K20" s="1256">
        <v>24</v>
      </c>
      <c r="L20" s="802">
        <v>11422</v>
      </c>
      <c r="M20" s="802">
        <v>4613088</v>
      </c>
      <c r="N20" s="799">
        <f t="shared" si="2"/>
        <v>4624534</v>
      </c>
      <c r="O20" s="803">
        <f t="shared" si="3"/>
        <v>5.7284738427155209E-2</v>
      </c>
      <c r="R20" s="416"/>
    </row>
    <row r="21" spans="2:18" ht="12" customHeight="1" x14ac:dyDescent="0.2">
      <c r="B21" s="1317">
        <v>2009</v>
      </c>
      <c r="C21" s="1318"/>
      <c r="D21" s="810">
        <f t="shared" si="0"/>
        <v>4878964</v>
      </c>
      <c r="E21" s="811">
        <v>42</v>
      </c>
      <c r="F21" s="812">
        <v>40</v>
      </c>
      <c r="G21" s="812">
        <v>187</v>
      </c>
      <c r="H21" s="812"/>
      <c r="I21" s="813">
        <f t="shared" si="1"/>
        <v>269</v>
      </c>
      <c r="J21" s="811"/>
      <c r="K21" s="1255">
        <v>22</v>
      </c>
      <c r="L21" s="814">
        <v>12368</v>
      </c>
      <c r="M21" s="814">
        <v>4866305</v>
      </c>
      <c r="N21" s="810">
        <f t="shared" si="2"/>
        <v>4878695</v>
      </c>
      <c r="O21" s="815">
        <f t="shared" si="3"/>
        <v>5.209548584494577E-2</v>
      </c>
      <c r="R21" s="416"/>
    </row>
    <row r="22" spans="2:18" ht="12" customHeight="1" x14ac:dyDescent="0.2">
      <c r="B22" s="1322">
        <v>2010</v>
      </c>
      <c r="C22" s="1323"/>
      <c r="D22" s="799">
        <f t="shared" si="0"/>
        <v>5170896</v>
      </c>
      <c r="E22" s="794">
        <v>48</v>
      </c>
      <c r="F22" s="800">
        <v>39</v>
      </c>
      <c r="G22" s="800">
        <v>171</v>
      </c>
      <c r="H22" s="800"/>
      <c r="I22" s="801">
        <f t="shared" si="1"/>
        <v>258</v>
      </c>
      <c r="J22" s="794"/>
      <c r="K22" s="1256">
        <v>23</v>
      </c>
      <c r="L22" s="802">
        <v>13331</v>
      </c>
      <c r="M22" s="802">
        <v>5157284</v>
      </c>
      <c r="N22" s="799">
        <f t="shared" si="2"/>
        <v>5170638</v>
      </c>
      <c r="O22" s="803">
        <f t="shared" si="3"/>
        <v>5.6456753336365691E-2</v>
      </c>
      <c r="R22" s="416"/>
    </row>
    <row r="23" spans="2:18" ht="12" customHeight="1" x14ac:dyDescent="0.2">
      <c r="B23" s="1317">
        <v>2011</v>
      </c>
      <c r="C23" s="1318"/>
      <c r="D23" s="810">
        <f t="shared" si="0"/>
        <v>5495222</v>
      </c>
      <c r="E23" s="811">
        <v>48</v>
      </c>
      <c r="F23" s="812">
        <v>45</v>
      </c>
      <c r="G23" s="812">
        <v>168</v>
      </c>
      <c r="H23" s="812"/>
      <c r="I23" s="813">
        <f t="shared" si="1"/>
        <v>261</v>
      </c>
      <c r="J23" s="811">
        <v>1</v>
      </c>
      <c r="K23" s="1255">
        <v>24</v>
      </c>
      <c r="L23" s="814">
        <v>14409</v>
      </c>
      <c r="M23" s="814">
        <v>5480527</v>
      </c>
      <c r="N23" s="810">
        <f t="shared" ref="N23:N31" si="4">SUM(K23,L23,M23,J23)</f>
        <v>5494961</v>
      </c>
      <c r="O23" s="815">
        <f t="shared" si="3"/>
        <v>5.9019635603438772E-2</v>
      </c>
      <c r="P23" s="363"/>
      <c r="R23" s="416"/>
    </row>
    <row r="24" spans="2:18" ht="12" customHeight="1" x14ac:dyDescent="0.2">
      <c r="B24" s="1322">
        <v>2012</v>
      </c>
      <c r="C24" s="1323"/>
      <c r="D24" s="799">
        <f t="shared" si="0"/>
        <v>5834887</v>
      </c>
      <c r="E24" s="794">
        <v>52</v>
      </c>
      <c r="F24" s="800">
        <v>46</v>
      </c>
      <c r="G24" s="800">
        <v>164</v>
      </c>
      <c r="H24" s="800"/>
      <c r="I24" s="801">
        <f t="shared" si="1"/>
        <v>262</v>
      </c>
      <c r="J24" s="794">
        <v>1</v>
      </c>
      <c r="K24" s="1256">
        <v>19</v>
      </c>
      <c r="L24" s="802">
        <v>15886</v>
      </c>
      <c r="M24" s="802">
        <v>5818719</v>
      </c>
      <c r="N24" s="799">
        <f t="shared" si="4"/>
        <v>5834625</v>
      </c>
      <c r="O24" s="803">
        <f t="shared" si="3"/>
        <v>5.8212781155830437E-2</v>
      </c>
      <c r="P24" s="363"/>
      <c r="R24" s="416"/>
    </row>
    <row r="25" spans="2:18" ht="12" customHeight="1" x14ac:dyDescent="0.2">
      <c r="B25" s="1317">
        <v>2013</v>
      </c>
      <c r="C25" s="1318"/>
      <c r="D25" s="810">
        <f t="shared" si="0"/>
        <v>6156315</v>
      </c>
      <c r="E25" s="811">
        <v>57</v>
      </c>
      <c r="F25" s="812">
        <v>57</v>
      </c>
      <c r="G25" s="812">
        <v>166</v>
      </c>
      <c r="H25" s="812"/>
      <c r="I25" s="813">
        <f t="shared" si="1"/>
        <v>280</v>
      </c>
      <c r="J25" s="811">
        <v>1</v>
      </c>
      <c r="K25" s="1255">
        <v>19</v>
      </c>
      <c r="L25" s="814">
        <v>16943</v>
      </c>
      <c r="M25" s="814">
        <v>6139072</v>
      </c>
      <c r="N25" s="810">
        <f t="shared" si="4"/>
        <v>6156035</v>
      </c>
      <c r="O25" s="815">
        <f t="shared" si="3"/>
        <v>5.2211103557891367E-2</v>
      </c>
      <c r="P25" s="363"/>
      <c r="R25" s="416"/>
    </row>
    <row r="26" spans="2:18" ht="12" customHeight="1" x14ac:dyDescent="0.2">
      <c r="B26" s="1322">
        <v>2014</v>
      </c>
      <c r="C26" s="1323"/>
      <c r="D26" s="799">
        <f t="shared" ref="D26:D31" si="5">SUM(I26,N26)</f>
        <v>6432743</v>
      </c>
      <c r="E26" s="794">
        <v>67</v>
      </c>
      <c r="F26" s="800">
        <v>60</v>
      </c>
      <c r="G26" s="800">
        <v>172.00000000000003</v>
      </c>
      <c r="H26" s="800"/>
      <c r="I26" s="801">
        <f t="shared" ref="I26:I31" si="6">SUM(E26,F26,G26,H26)</f>
        <v>299</v>
      </c>
      <c r="J26" s="794">
        <v>1</v>
      </c>
      <c r="K26" s="1256">
        <v>16</v>
      </c>
      <c r="L26" s="802">
        <v>17700.000000000004</v>
      </c>
      <c r="M26" s="802">
        <v>6414727</v>
      </c>
      <c r="N26" s="799">
        <f t="shared" si="4"/>
        <v>6432444</v>
      </c>
      <c r="O26" s="803">
        <f t="shared" ref="O26:O31" si="7">+(D26-D25)/D26</f>
        <v>4.2972026085917006E-2</v>
      </c>
      <c r="P26" s="363"/>
      <c r="R26" s="416"/>
    </row>
    <row r="27" spans="2:18" ht="12" customHeight="1" x14ac:dyDescent="0.2">
      <c r="B27" s="1317">
        <v>2015</v>
      </c>
      <c r="C27" s="1318"/>
      <c r="D27" s="810">
        <f t="shared" si="5"/>
        <v>6682028</v>
      </c>
      <c r="E27" s="811">
        <v>61</v>
      </c>
      <c r="F27" s="812">
        <v>53</v>
      </c>
      <c r="G27" s="812">
        <v>232</v>
      </c>
      <c r="H27" s="812"/>
      <c r="I27" s="813">
        <f t="shared" si="6"/>
        <v>346</v>
      </c>
      <c r="J27" s="811">
        <v>1</v>
      </c>
      <c r="K27" s="1255">
        <v>17</v>
      </c>
      <c r="L27" s="814">
        <v>18796</v>
      </c>
      <c r="M27" s="814">
        <v>6662868</v>
      </c>
      <c r="N27" s="810">
        <f t="shared" si="4"/>
        <v>6681682</v>
      </c>
      <c r="O27" s="815">
        <f t="shared" si="7"/>
        <v>3.7306787699782164E-2</v>
      </c>
      <c r="P27" s="363"/>
      <c r="R27" s="416"/>
    </row>
    <row r="28" spans="2:18" ht="12" customHeight="1" x14ac:dyDescent="0.2">
      <c r="B28" s="1322">
        <v>2016</v>
      </c>
      <c r="C28" s="1323"/>
      <c r="D28" s="799">
        <f t="shared" si="5"/>
        <v>6936508</v>
      </c>
      <c r="E28" s="794">
        <v>71</v>
      </c>
      <c r="F28" s="800">
        <v>52</v>
      </c>
      <c r="G28" s="800">
        <v>810</v>
      </c>
      <c r="H28" s="800"/>
      <c r="I28" s="801">
        <f t="shared" si="6"/>
        <v>933</v>
      </c>
      <c r="J28" s="794">
        <v>1</v>
      </c>
      <c r="K28" s="1256">
        <v>16</v>
      </c>
      <c r="L28" s="802">
        <v>18704.999999999996</v>
      </c>
      <c r="M28" s="802">
        <v>6916853</v>
      </c>
      <c r="N28" s="799">
        <f t="shared" si="4"/>
        <v>6935575</v>
      </c>
      <c r="O28" s="803">
        <f t="shared" si="7"/>
        <v>3.6687047719111694E-2</v>
      </c>
      <c r="P28" s="363"/>
      <c r="R28" s="416"/>
    </row>
    <row r="29" spans="2:18" ht="12" customHeight="1" x14ac:dyDescent="0.2">
      <c r="B29" s="1317">
        <v>2017</v>
      </c>
      <c r="C29" s="1318"/>
      <c r="D29" s="810">
        <f t="shared" si="5"/>
        <v>7167734</v>
      </c>
      <c r="E29" s="811">
        <v>134</v>
      </c>
      <c r="F29" s="812">
        <v>56</v>
      </c>
      <c r="G29" s="812">
        <v>1225</v>
      </c>
      <c r="H29" s="812"/>
      <c r="I29" s="813">
        <f t="shared" si="6"/>
        <v>1415</v>
      </c>
      <c r="J29" s="811">
        <v>1</v>
      </c>
      <c r="K29" s="1255">
        <v>12</v>
      </c>
      <c r="L29" s="814">
        <v>18760</v>
      </c>
      <c r="M29" s="814">
        <v>7147546</v>
      </c>
      <c r="N29" s="810">
        <f t="shared" si="4"/>
        <v>7166319</v>
      </c>
      <c r="O29" s="815">
        <f t="shared" si="7"/>
        <v>3.2259288639896515E-2</v>
      </c>
      <c r="P29" s="363"/>
      <c r="R29" s="416"/>
    </row>
    <row r="30" spans="2:18" ht="12" customHeight="1" x14ac:dyDescent="0.2">
      <c r="B30" s="1322">
        <v>2018</v>
      </c>
      <c r="C30" s="1323"/>
      <c r="D30" s="799">
        <f t="shared" si="5"/>
        <v>7376937.9999999925</v>
      </c>
      <c r="E30" s="794">
        <v>185</v>
      </c>
      <c r="F30" s="800">
        <v>59</v>
      </c>
      <c r="G30" s="800">
        <v>1588</v>
      </c>
      <c r="H30" s="800">
        <v>2</v>
      </c>
      <c r="I30" s="801">
        <f t="shared" si="6"/>
        <v>1834</v>
      </c>
      <c r="J30" s="794">
        <v>1</v>
      </c>
      <c r="K30" s="1256">
        <v>10</v>
      </c>
      <c r="L30" s="802">
        <v>19056.999999999996</v>
      </c>
      <c r="M30" s="802">
        <v>7356035.9999999925</v>
      </c>
      <c r="N30" s="799">
        <f>SUM(K30,L30,M30,J30)</f>
        <v>7375103.9999999925</v>
      </c>
      <c r="O30" s="803">
        <f t="shared" si="7"/>
        <v>2.8359191848974841E-2</v>
      </c>
      <c r="P30" s="363"/>
      <c r="R30" s="416"/>
    </row>
    <row r="31" spans="2:18" ht="12" customHeight="1" x14ac:dyDescent="0.2">
      <c r="B31" s="1313">
        <v>2019</v>
      </c>
      <c r="C31" s="1314"/>
      <c r="D31" s="810">
        <f t="shared" si="5"/>
        <v>7566035.9999999637</v>
      </c>
      <c r="E31" s="811">
        <v>230.00000000000003</v>
      </c>
      <c r="F31" s="812">
        <v>62.000000000000021</v>
      </c>
      <c r="G31" s="812">
        <v>1953.0000000000032</v>
      </c>
      <c r="H31" s="812">
        <v>1</v>
      </c>
      <c r="I31" s="813">
        <f t="shared" si="6"/>
        <v>2246.0000000000032</v>
      </c>
      <c r="J31" s="811">
        <v>1</v>
      </c>
      <c r="K31" s="1255">
        <v>9</v>
      </c>
      <c r="L31" s="814">
        <v>19211.999999999975</v>
      </c>
      <c r="M31" s="814">
        <v>7544567.9999999637</v>
      </c>
      <c r="N31" s="810">
        <f t="shared" si="4"/>
        <v>7563789.9999999637</v>
      </c>
      <c r="O31" s="815">
        <f t="shared" si="7"/>
        <v>2.499300822781864E-2</v>
      </c>
      <c r="P31" s="363"/>
      <c r="R31" s="416"/>
    </row>
    <row r="32" spans="2:18" ht="13.5" thickBot="1" x14ac:dyDescent="0.25">
      <c r="B32" s="1330"/>
      <c r="C32" s="1331"/>
      <c r="D32" s="804"/>
      <c r="E32" s="805"/>
      <c r="F32" s="806"/>
      <c r="G32" s="806"/>
      <c r="H32" s="806"/>
      <c r="I32" s="807"/>
      <c r="J32" s="805"/>
      <c r="K32" s="1257"/>
      <c r="L32" s="808"/>
      <c r="M32" s="808"/>
      <c r="N32" s="804"/>
      <c r="O32" s="809"/>
      <c r="R32" s="416"/>
    </row>
    <row r="33" spans="1:29" x14ac:dyDescent="0.2">
      <c r="B33" s="55" t="s">
        <v>356</v>
      </c>
      <c r="C33" s="55"/>
      <c r="D33" s="381">
        <f>(D31/D30)-1</f>
        <v>2.5633670772341022E-2</v>
      </c>
      <c r="E33" s="970"/>
      <c r="F33" s="970"/>
      <c r="G33" s="970"/>
      <c r="H33" s="971"/>
      <c r="I33" s="381">
        <f>(I31/I30)-1</f>
        <v>0.22464558342421115</v>
      </c>
      <c r="J33" s="972"/>
      <c r="K33" s="970"/>
      <c r="L33" s="970"/>
      <c r="M33" s="970"/>
      <c r="N33" s="381">
        <f>(N31/N30)-1</f>
        <v>2.5584181592553934E-2</v>
      </c>
      <c r="O33" s="965"/>
    </row>
    <row r="34" spans="1:29" x14ac:dyDescent="0.2">
      <c r="B34" s="269" t="s">
        <v>357</v>
      </c>
      <c r="C34" s="269"/>
      <c r="D34" s="382">
        <f>((D31/D26)^(1/5))-1</f>
        <v>3.298601167689541E-2</v>
      </c>
      <c r="E34" s="972"/>
      <c r="F34" s="972"/>
      <c r="G34" s="972"/>
      <c r="H34" s="972"/>
      <c r="I34" s="382">
        <f>((I31/I26)^(1/5))-1</f>
        <v>0.49674464397684348</v>
      </c>
      <c r="J34" s="972"/>
      <c r="K34" s="972"/>
      <c r="L34" s="972"/>
      <c r="M34" s="972"/>
      <c r="N34" s="382">
        <f>((N31/N26)^(1/5))-1</f>
        <v>3.2934277938909018E-2</v>
      </c>
      <c r="O34" s="965"/>
    </row>
    <row r="35" spans="1:29" x14ac:dyDescent="0.2">
      <c r="B35" s="270" t="s">
        <v>358</v>
      </c>
      <c r="C35" s="270"/>
      <c r="D35" s="383">
        <f>(D31/D21)-1</f>
        <v>0.55074642895499193</v>
      </c>
      <c r="E35" s="971"/>
      <c r="F35" s="971"/>
      <c r="G35" s="971"/>
      <c r="H35" s="971"/>
      <c r="I35" s="383">
        <f>(I31/I21)-1</f>
        <v>7.3494423791821681</v>
      </c>
      <c r="J35" s="972"/>
      <c r="K35" s="971"/>
      <c r="L35" s="971"/>
      <c r="M35" s="971"/>
      <c r="N35" s="383">
        <f>(N31/N21)-1</f>
        <v>0.55037156452698177</v>
      </c>
      <c r="O35" s="965"/>
    </row>
    <row r="36" spans="1:29" ht="13.5" thickBot="1" x14ac:dyDescent="0.25">
      <c r="B36" s="271" t="s">
        <v>359</v>
      </c>
      <c r="C36" s="271"/>
      <c r="D36" s="384">
        <f>((D31/D21)^(1/10))-1</f>
        <v>4.4850317388175354E-2</v>
      </c>
      <c r="E36" s="973"/>
      <c r="F36" s="974" t="s">
        <v>225</v>
      </c>
      <c r="G36" s="973"/>
      <c r="H36" s="973"/>
      <c r="I36" s="384">
        <f>((I31/I21)^(1/10))-1</f>
        <v>0.236419219114266</v>
      </c>
      <c r="J36" s="975"/>
      <c r="K36" s="973"/>
      <c r="L36" s="973"/>
      <c r="M36" s="973"/>
      <c r="N36" s="384">
        <f>((N31/N21)^(1/10))-1</f>
        <v>4.4825057305537985E-2</v>
      </c>
      <c r="O36" s="965"/>
    </row>
    <row r="37" spans="1:29" s="356" customFormat="1" x14ac:dyDescent="0.2">
      <c r="A37" s="966"/>
      <c r="B37" s="966"/>
      <c r="C37" s="966"/>
      <c r="D37" s="966"/>
      <c r="E37" s="966"/>
      <c r="F37" s="966"/>
      <c r="G37" s="966"/>
      <c r="H37" s="966"/>
      <c r="I37" s="966"/>
      <c r="J37" s="966"/>
      <c r="K37" s="966"/>
      <c r="L37" s="966"/>
      <c r="M37" s="966"/>
      <c r="N37" s="966"/>
      <c r="O37" s="966"/>
      <c r="R37" s="967"/>
      <c r="S37" s="967"/>
      <c r="T37" s="967"/>
      <c r="U37" s="967"/>
      <c r="V37" s="967"/>
      <c r="W37" s="967"/>
      <c r="X37" s="967"/>
      <c r="Y37" s="967"/>
      <c r="Z37" s="967"/>
      <c r="AA37" s="967"/>
      <c r="AB37" s="967"/>
      <c r="AC37" s="967"/>
    </row>
    <row r="38" spans="1:29" s="356" customFormat="1" ht="63.75" customHeight="1" x14ac:dyDescent="0.2">
      <c r="A38" s="966"/>
      <c r="B38" s="1329" t="s">
        <v>364</v>
      </c>
      <c r="C38" s="1329"/>
      <c r="D38" s="1329"/>
      <c r="E38" s="969"/>
      <c r="F38" s="969"/>
      <c r="G38" s="969"/>
      <c r="H38" s="969"/>
      <c r="I38" s="969"/>
      <c r="J38" s="969"/>
      <c r="K38" s="969"/>
      <c r="L38" s="969"/>
      <c r="M38" s="969"/>
      <c r="N38" s="969"/>
      <c r="O38" s="969"/>
      <c r="R38" s="967"/>
      <c r="S38" s="967"/>
      <c r="T38" s="967"/>
      <c r="U38" s="967"/>
      <c r="V38" s="967"/>
      <c r="W38" s="967"/>
      <c r="X38" s="967"/>
      <c r="Y38" s="967"/>
      <c r="Z38" s="967"/>
      <c r="AA38" s="967"/>
      <c r="AB38" s="967"/>
      <c r="AC38" s="967"/>
    </row>
    <row r="39" spans="1:29" s="356" customFormat="1" x14ac:dyDescent="0.2">
      <c r="A39" s="966"/>
      <c r="B39" s="968"/>
      <c r="C39" s="966"/>
      <c r="D39" s="966"/>
      <c r="E39" s="966"/>
      <c r="F39" s="966"/>
      <c r="G39" s="966"/>
      <c r="H39" s="966"/>
      <c r="I39" s="966"/>
      <c r="J39" s="966"/>
      <c r="K39" s="966"/>
      <c r="L39" s="966"/>
      <c r="M39" s="966"/>
      <c r="N39" s="966"/>
      <c r="O39" s="966"/>
      <c r="R39" s="967"/>
      <c r="S39" s="967"/>
      <c r="T39" s="967"/>
      <c r="U39" s="967"/>
      <c r="V39" s="967"/>
      <c r="W39" s="967"/>
      <c r="X39" s="967"/>
      <c r="Y39" s="967"/>
      <c r="Z39" s="967"/>
      <c r="AA39" s="967"/>
      <c r="AB39" s="967"/>
      <c r="AC39" s="967"/>
    </row>
    <row r="40" spans="1:29" s="356" customFormat="1" x14ac:dyDescent="0.2">
      <c r="A40" s="966"/>
      <c r="B40" s="966"/>
      <c r="C40" s="966"/>
      <c r="D40" s="966"/>
      <c r="E40" s="966"/>
      <c r="F40" s="966"/>
      <c r="G40" s="966"/>
      <c r="H40" s="966"/>
      <c r="I40" s="966"/>
      <c r="J40" s="966"/>
      <c r="K40" s="966"/>
      <c r="L40" s="966"/>
      <c r="M40" s="966"/>
      <c r="N40" s="966"/>
      <c r="O40" s="966"/>
      <c r="R40" s="967"/>
      <c r="S40" s="967"/>
      <c r="T40" s="967"/>
      <c r="U40" s="967"/>
      <c r="V40" s="967"/>
      <c r="W40" s="967"/>
      <c r="X40" s="967"/>
      <c r="Y40" s="967"/>
      <c r="Z40" s="967"/>
      <c r="AA40" s="967"/>
      <c r="AB40" s="967"/>
      <c r="AC40" s="967"/>
    </row>
    <row r="41" spans="1:29" s="356" customFormat="1" x14ac:dyDescent="0.2">
      <c r="A41" s="966"/>
      <c r="B41" s="966"/>
      <c r="C41" s="966"/>
      <c r="D41" s="966"/>
      <c r="E41" s="966"/>
      <c r="F41" s="966"/>
      <c r="G41" s="966"/>
      <c r="H41" s="966"/>
      <c r="I41" s="966"/>
      <c r="J41" s="966"/>
      <c r="K41" s="966"/>
      <c r="L41" s="966"/>
      <c r="M41" s="966"/>
      <c r="N41" s="966"/>
      <c r="O41" s="966"/>
      <c r="R41" s="967"/>
      <c r="S41" s="967"/>
      <c r="T41" s="967"/>
      <c r="U41" s="967"/>
      <c r="V41" s="967"/>
      <c r="W41" s="967"/>
      <c r="X41" s="967"/>
      <c r="Y41" s="967"/>
      <c r="Z41" s="967"/>
      <c r="AA41" s="967"/>
      <c r="AB41" s="967"/>
      <c r="AC41" s="967"/>
    </row>
    <row r="42" spans="1:29" s="356" customFormat="1" x14ac:dyDescent="0.2">
      <c r="A42" s="966"/>
      <c r="B42" s="966"/>
      <c r="C42" s="966"/>
      <c r="D42" s="966"/>
      <c r="E42" s="966"/>
      <c r="F42" s="966"/>
      <c r="G42" s="966"/>
      <c r="H42" s="966"/>
      <c r="I42" s="966"/>
      <c r="J42" s="966"/>
      <c r="K42" s="966"/>
      <c r="L42" s="966"/>
      <c r="M42" s="966"/>
      <c r="N42" s="966"/>
      <c r="O42" s="966"/>
      <c r="R42" s="561"/>
      <c r="S42" s="816" t="s">
        <v>21</v>
      </c>
      <c r="T42" s="816" t="s">
        <v>22</v>
      </c>
      <c r="U42" s="816" t="s">
        <v>23</v>
      </c>
      <c r="V42" s="816" t="s">
        <v>24</v>
      </c>
      <c r="W42" s="816" t="s">
        <v>38</v>
      </c>
      <c r="X42" s="816"/>
      <c r="Y42" s="816" t="s">
        <v>21</v>
      </c>
      <c r="Z42" s="816" t="s">
        <v>22</v>
      </c>
      <c r="AA42" s="816" t="s">
        <v>23</v>
      </c>
      <c r="AB42" s="816" t="s">
        <v>24</v>
      </c>
      <c r="AC42" s="816" t="s">
        <v>39</v>
      </c>
    </row>
    <row r="43" spans="1:29" s="356" customFormat="1" x14ac:dyDescent="0.2">
      <c r="A43" s="966"/>
      <c r="B43" s="966"/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R43" s="817">
        <v>1998</v>
      </c>
      <c r="S43" s="818">
        <f t="shared" ref="S43:V44" si="8">E10</f>
        <v>17</v>
      </c>
      <c r="T43" s="818">
        <f t="shared" si="8"/>
        <v>37</v>
      </c>
      <c r="U43" s="818">
        <f t="shared" si="8"/>
        <v>163</v>
      </c>
      <c r="V43" s="818">
        <f t="shared" si="8"/>
        <v>1</v>
      </c>
      <c r="W43" s="818">
        <f>SUM(S43:V43)</f>
        <v>218</v>
      </c>
      <c r="X43" s="818"/>
      <c r="Y43" s="818"/>
      <c r="Z43" s="818">
        <f t="shared" ref="Z43:Z58" si="9">K10</f>
        <v>13</v>
      </c>
      <c r="AA43" s="818">
        <f t="shared" ref="AA43:AA58" si="10">L10</f>
        <v>5372</v>
      </c>
      <c r="AB43" s="818">
        <f t="shared" ref="AB43:AB58" si="11">M10</f>
        <v>3051717</v>
      </c>
      <c r="AC43" s="818">
        <f>SUM(Z43:AB43)</f>
        <v>3057102</v>
      </c>
    </row>
    <row r="44" spans="1:29" s="356" customFormat="1" x14ac:dyDescent="0.2">
      <c r="A44" s="966"/>
      <c r="B44" s="966"/>
      <c r="C44" s="966"/>
      <c r="D44" s="966"/>
      <c r="E44" s="966"/>
      <c r="F44" s="966"/>
      <c r="G44" s="966"/>
      <c r="H44" s="966"/>
      <c r="I44" s="966"/>
      <c r="J44" s="966"/>
      <c r="K44" s="966"/>
      <c r="L44" s="966"/>
      <c r="M44" s="966"/>
      <c r="N44" s="966"/>
      <c r="O44" s="966"/>
      <c r="R44" s="817">
        <v>1999</v>
      </c>
      <c r="S44" s="818">
        <f t="shared" si="8"/>
        <v>13</v>
      </c>
      <c r="T44" s="818">
        <f t="shared" si="8"/>
        <v>41</v>
      </c>
      <c r="U44" s="818">
        <f t="shared" si="8"/>
        <v>168</v>
      </c>
      <c r="V44" s="818">
        <f t="shared" si="8"/>
        <v>1</v>
      </c>
      <c r="W44" s="818">
        <f t="shared" ref="W44:W51" si="12">SUM(S44:V44)</f>
        <v>223</v>
      </c>
      <c r="X44" s="818"/>
      <c r="Y44" s="818"/>
      <c r="Z44" s="818">
        <f t="shared" si="9"/>
        <v>20</v>
      </c>
      <c r="AA44" s="818">
        <f t="shared" si="10"/>
        <v>5774</v>
      </c>
      <c r="AB44" s="818">
        <f t="shared" si="11"/>
        <v>3211041</v>
      </c>
      <c r="AC44" s="818">
        <f t="shared" ref="AC44:AC51" si="13">SUM(Z44:AB44)</f>
        <v>3216835</v>
      </c>
    </row>
    <row r="45" spans="1:29" s="356" customFormat="1" x14ac:dyDescent="0.2">
      <c r="A45" s="966"/>
      <c r="B45" s="966"/>
      <c r="C45" s="966"/>
      <c r="D45" s="966"/>
      <c r="E45" s="966"/>
      <c r="F45" s="966"/>
      <c r="G45" s="966"/>
      <c r="H45" s="966"/>
      <c r="I45" s="966"/>
      <c r="J45" s="966"/>
      <c r="K45" s="966"/>
      <c r="L45" s="966"/>
      <c r="M45" s="966"/>
      <c r="N45" s="966"/>
      <c r="O45" s="966"/>
      <c r="R45" s="817">
        <v>2000</v>
      </c>
      <c r="S45" s="818">
        <f t="shared" ref="S45:S58" si="14">E12</f>
        <v>15</v>
      </c>
      <c r="T45" s="818">
        <f t="shared" ref="T45:T58" si="15">F12</f>
        <v>40</v>
      </c>
      <c r="U45" s="818">
        <f t="shared" ref="U45:U58" si="16">G12</f>
        <v>174</v>
      </c>
      <c r="V45" s="819"/>
      <c r="W45" s="818">
        <f t="shared" si="12"/>
        <v>229</v>
      </c>
      <c r="X45" s="818"/>
      <c r="Y45" s="818"/>
      <c r="Z45" s="818">
        <f t="shared" si="9"/>
        <v>9</v>
      </c>
      <c r="AA45" s="818">
        <f t="shared" si="10"/>
        <v>6259</v>
      </c>
      <c r="AB45" s="818">
        <f t="shared" si="11"/>
        <v>3345712</v>
      </c>
      <c r="AC45" s="818">
        <f t="shared" si="13"/>
        <v>3351980</v>
      </c>
    </row>
    <row r="46" spans="1:29" s="356" customFormat="1" x14ac:dyDescent="0.2">
      <c r="A46" s="966"/>
      <c r="B46" s="966"/>
      <c r="C46" s="966"/>
      <c r="D46" s="966"/>
      <c r="E46" s="966"/>
      <c r="F46" s="966"/>
      <c r="G46" s="966"/>
      <c r="H46" s="966"/>
      <c r="I46" s="966"/>
      <c r="J46" s="966"/>
      <c r="K46" s="966"/>
      <c r="L46" s="966"/>
      <c r="M46" s="966"/>
      <c r="N46" s="966"/>
      <c r="O46" s="966"/>
      <c r="R46" s="817">
        <v>2001</v>
      </c>
      <c r="S46" s="818">
        <f t="shared" si="14"/>
        <v>23</v>
      </c>
      <c r="T46" s="818">
        <f t="shared" si="15"/>
        <v>38</v>
      </c>
      <c r="U46" s="818">
        <f t="shared" si="16"/>
        <v>180</v>
      </c>
      <c r="V46" s="819"/>
      <c r="W46" s="818">
        <f t="shared" si="12"/>
        <v>241</v>
      </c>
      <c r="X46" s="818"/>
      <c r="Y46" s="818"/>
      <c r="Z46" s="818">
        <f t="shared" si="9"/>
        <v>9</v>
      </c>
      <c r="AA46" s="818">
        <f t="shared" si="10"/>
        <v>6752</v>
      </c>
      <c r="AB46" s="818">
        <f t="shared" si="11"/>
        <v>3455849</v>
      </c>
      <c r="AC46" s="818">
        <f t="shared" si="13"/>
        <v>3462610</v>
      </c>
    </row>
    <row r="47" spans="1:29" s="356" customFormat="1" x14ac:dyDescent="0.2">
      <c r="A47" s="966"/>
      <c r="B47" s="966"/>
      <c r="C47" s="966"/>
      <c r="D47" s="966"/>
      <c r="E47" s="966"/>
      <c r="F47" s="966"/>
      <c r="G47" s="966"/>
      <c r="H47" s="966"/>
      <c r="I47" s="966"/>
      <c r="J47" s="966"/>
      <c r="K47" s="966"/>
      <c r="L47" s="966"/>
      <c r="M47" s="966"/>
      <c r="N47" s="966"/>
      <c r="O47" s="966"/>
      <c r="R47" s="817">
        <v>2002</v>
      </c>
      <c r="S47" s="818">
        <f t="shared" si="14"/>
        <v>32</v>
      </c>
      <c r="T47" s="818">
        <f t="shared" si="15"/>
        <v>41</v>
      </c>
      <c r="U47" s="818">
        <f t="shared" si="16"/>
        <v>188</v>
      </c>
      <c r="V47" s="819"/>
      <c r="W47" s="818">
        <f t="shared" si="12"/>
        <v>261</v>
      </c>
      <c r="X47" s="818"/>
      <c r="Y47" s="818"/>
      <c r="Z47" s="818">
        <f t="shared" si="9"/>
        <v>11</v>
      </c>
      <c r="AA47" s="818">
        <f t="shared" si="10"/>
        <v>7166</v>
      </c>
      <c r="AB47" s="818">
        <f t="shared" si="11"/>
        <v>3607046</v>
      </c>
      <c r="AC47" s="818">
        <f t="shared" si="13"/>
        <v>3614223</v>
      </c>
    </row>
    <row r="48" spans="1:29" s="356" customFormat="1" x14ac:dyDescent="0.2">
      <c r="A48" s="966"/>
      <c r="B48" s="966"/>
      <c r="C48" s="966"/>
      <c r="D48" s="966"/>
      <c r="E48" s="966"/>
      <c r="F48" s="966"/>
      <c r="G48" s="966"/>
      <c r="H48" s="966"/>
      <c r="I48" s="966"/>
      <c r="J48" s="966"/>
      <c r="K48" s="966"/>
      <c r="L48" s="966"/>
      <c r="M48" s="966"/>
      <c r="N48" s="966"/>
      <c r="O48" s="966"/>
      <c r="R48" s="817">
        <v>2003</v>
      </c>
      <c r="S48" s="818">
        <f t="shared" si="14"/>
        <v>37</v>
      </c>
      <c r="T48" s="818">
        <f t="shared" si="15"/>
        <v>35</v>
      </c>
      <c r="U48" s="818">
        <f t="shared" si="16"/>
        <v>175</v>
      </c>
      <c r="V48" s="819"/>
      <c r="W48" s="818">
        <f t="shared" si="12"/>
        <v>247</v>
      </c>
      <c r="X48" s="818"/>
      <c r="Y48" s="818"/>
      <c r="Z48" s="818">
        <f t="shared" si="9"/>
        <v>12</v>
      </c>
      <c r="AA48" s="818">
        <f t="shared" si="10"/>
        <v>7598</v>
      </c>
      <c r="AB48" s="818">
        <f t="shared" si="11"/>
        <v>3719409</v>
      </c>
      <c r="AC48" s="818">
        <f t="shared" si="13"/>
        <v>3727019</v>
      </c>
    </row>
    <row r="49" spans="1:29" s="356" customFormat="1" x14ac:dyDescent="0.2">
      <c r="A49" s="966"/>
      <c r="B49" s="966"/>
      <c r="C49" s="966"/>
      <c r="D49" s="966"/>
      <c r="E49" s="966"/>
      <c r="F49" s="966"/>
      <c r="G49" s="966"/>
      <c r="H49" s="966"/>
      <c r="I49" s="966"/>
      <c r="J49" s="966"/>
      <c r="K49" s="966"/>
      <c r="L49" s="966"/>
      <c r="M49" s="966"/>
      <c r="N49" s="966"/>
      <c r="O49" s="966"/>
      <c r="R49" s="817">
        <v>2004</v>
      </c>
      <c r="S49" s="818">
        <f t="shared" si="14"/>
        <v>37</v>
      </c>
      <c r="T49" s="818">
        <f t="shared" si="15"/>
        <v>33</v>
      </c>
      <c r="U49" s="818">
        <f t="shared" si="16"/>
        <v>175</v>
      </c>
      <c r="V49" s="819"/>
      <c r="W49" s="818">
        <f t="shared" si="12"/>
        <v>245</v>
      </c>
      <c r="X49" s="818"/>
      <c r="Y49" s="818"/>
      <c r="Z49" s="818">
        <f t="shared" si="9"/>
        <v>19</v>
      </c>
      <c r="AA49" s="818">
        <f t="shared" si="10"/>
        <v>8120</v>
      </c>
      <c r="AB49" s="818">
        <f t="shared" si="11"/>
        <v>3852131</v>
      </c>
      <c r="AC49" s="818">
        <f t="shared" si="13"/>
        <v>3860270</v>
      </c>
    </row>
    <row r="50" spans="1:29" s="356" customFormat="1" x14ac:dyDescent="0.2">
      <c r="A50" s="966"/>
      <c r="B50" s="966"/>
      <c r="C50" s="966"/>
      <c r="D50" s="966"/>
      <c r="E50" s="966"/>
      <c r="F50" s="966"/>
      <c r="G50" s="966"/>
      <c r="H50" s="966"/>
      <c r="I50" s="966"/>
      <c r="J50" s="966"/>
      <c r="K50" s="966"/>
      <c r="L50" s="966"/>
      <c r="M50" s="966"/>
      <c r="N50" s="966"/>
      <c r="O50" s="966"/>
      <c r="R50" s="817">
        <v>2005</v>
      </c>
      <c r="S50" s="818">
        <f t="shared" si="14"/>
        <v>36</v>
      </c>
      <c r="T50" s="818">
        <f t="shared" si="15"/>
        <v>36</v>
      </c>
      <c r="U50" s="818">
        <f t="shared" si="16"/>
        <v>172</v>
      </c>
      <c r="V50" s="819"/>
      <c r="W50" s="818">
        <f t="shared" si="12"/>
        <v>244</v>
      </c>
      <c r="X50" s="818"/>
      <c r="Y50" s="818"/>
      <c r="Z50" s="818">
        <f t="shared" si="9"/>
        <v>18</v>
      </c>
      <c r="AA50" s="818">
        <f t="shared" si="10"/>
        <v>8727</v>
      </c>
      <c r="AB50" s="818">
        <f t="shared" si="11"/>
        <v>3968111</v>
      </c>
      <c r="AC50" s="818">
        <f t="shared" si="13"/>
        <v>3976856</v>
      </c>
    </row>
    <row r="51" spans="1:29" s="356" customFormat="1" x14ac:dyDescent="0.2">
      <c r="A51" s="966"/>
      <c r="B51" s="966"/>
      <c r="C51" s="966"/>
      <c r="D51" s="966"/>
      <c r="E51" s="966"/>
      <c r="F51" s="966"/>
      <c r="G51" s="966"/>
      <c r="H51" s="966"/>
      <c r="I51" s="966"/>
      <c r="J51" s="966"/>
      <c r="K51" s="966"/>
      <c r="L51" s="966"/>
      <c r="M51" s="966"/>
      <c r="N51" s="966"/>
      <c r="O51" s="966"/>
      <c r="R51" s="817">
        <v>2006</v>
      </c>
      <c r="S51" s="818">
        <f t="shared" si="14"/>
        <v>38</v>
      </c>
      <c r="T51" s="818">
        <f t="shared" si="15"/>
        <v>36</v>
      </c>
      <c r="U51" s="818">
        <f t="shared" si="16"/>
        <v>163</v>
      </c>
      <c r="V51" s="819"/>
      <c r="W51" s="818">
        <f t="shared" si="12"/>
        <v>237</v>
      </c>
      <c r="X51" s="818"/>
      <c r="Y51" s="818"/>
      <c r="Z51" s="818">
        <f t="shared" si="9"/>
        <v>22</v>
      </c>
      <c r="AA51" s="818">
        <f t="shared" si="10"/>
        <v>9454</v>
      </c>
      <c r="AB51" s="818">
        <f t="shared" si="11"/>
        <v>4155561</v>
      </c>
      <c r="AC51" s="818">
        <f t="shared" si="13"/>
        <v>4165037</v>
      </c>
    </row>
    <row r="52" spans="1:29" s="356" customFormat="1" x14ac:dyDescent="0.2">
      <c r="A52" s="966"/>
      <c r="B52" s="966"/>
      <c r="C52" s="966"/>
      <c r="D52" s="966"/>
      <c r="E52" s="966"/>
      <c r="F52" s="966"/>
      <c r="G52" s="966"/>
      <c r="H52" s="966"/>
      <c r="I52" s="966"/>
      <c r="J52" s="966"/>
      <c r="K52" s="966"/>
      <c r="L52" s="966"/>
      <c r="M52" s="966"/>
      <c r="N52" s="966"/>
      <c r="O52" s="966"/>
      <c r="R52" s="817">
        <v>2007</v>
      </c>
      <c r="S52" s="818">
        <f t="shared" si="14"/>
        <v>43</v>
      </c>
      <c r="T52" s="818">
        <f t="shared" si="15"/>
        <v>34</v>
      </c>
      <c r="U52" s="818">
        <f t="shared" si="16"/>
        <v>173</v>
      </c>
      <c r="V52" s="819"/>
      <c r="W52" s="818">
        <f t="shared" ref="W52:W57" si="17">SUM(S52:V52)</f>
        <v>250</v>
      </c>
      <c r="X52" s="818"/>
      <c r="Y52" s="818"/>
      <c r="Z52" s="818">
        <f t="shared" si="9"/>
        <v>25</v>
      </c>
      <c r="AA52" s="818">
        <f t="shared" si="10"/>
        <v>10314</v>
      </c>
      <c r="AB52" s="818">
        <f t="shared" si="11"/>
        <v>4349273</v>
      </c>
      <c r="AC52" s="818">
        <f>SUM(Z52:AB52)</f>
        <v>4359612</v>
      </c>
    </row>
    <row r="53" spans="1:29" s="356" customFormat="1" x14ac:dyDescent="0.2">
      <c r="A53" s="966"/>
      <c r="B53" s="966"/>
      <c r="C53" s="966"/>
      <c r="D53" s="966"/>
      <c r="E53" s="966"/>
      <c r="F53" s="966"/>
      <c r="G53" s="966"/>
      <c r="H53" s="966"/>
      <c r="I53" s="966"/>
      <c r="J53" s="966"/>
      <c r="K53" s="966"/>
      <c r="L53" s="966"/>
      <c r="M53" s="966"/>
      <c r="N53" s="966"/>
      <c r="O53" s="966"/>
      <c r="R53" s="817">
        <v>2008</v>
      </c>
      <c r="S53" s="818">
        <f t="shared" si="14"/>
        <v>44</v>
      </c>
      <c r="T53" s="818">
        <f t="shared" si="15"/>
        <v>34</v>
      </c>
      <c r="U53" s="818">
        <f t="shared" si="16"/>
        <v>180</v>
      </c>
      <c r="V53" s="819"/>
      <c r="W53" s="818">
        <f t="shared" si="17"/>
        <v>258</v>
      </c>
      <c r="X53" s="818"/>
      <c r="Y53" s="818"/>
      <c r="Z53" s="818">
        <f t="shared" si="9"/>
        <v>24</v>
      </c>
      <c r="AA53" s="818">
        <f t="shared" si="10"/>
        <v>11422</v>
      </c>
      <c r="AB53" s="818">
        <f t="shared" si="11"/>
        <v>4613088</v>
      </c>
      <c r="AC53" s="818">
        <f>SUM(Z53:AB53)</f>
        <v>4624534</v>
      </c>
    </row>
    <row r="54" spans="1:29" s="356" customFormat="1" x14ac:dyDescent="0.2">
      <c r="A54" s="966"/>
      <c r="B54" s="966"/>
      <c r="C54" s="966"/>
      <c r="D54" s="966"/>
      <c r="E54" s="966"/>
      <c r="F54" s="966"/>
      <c r="G54" s="966"/>
      <c r="H54" s="966"/>
      <c r="I54" s="966"/>
      <c r="J54" s="966"/>
      <c r="K54" s="966"/>
      <c r="L54" s="966"/>
      <c r="M54" s="966"/>
      <c r="N54" s="966"/>
      <c r="O54" s="966"/>
      <c r="R54" s="817">
        <v>2009</v>
      </c>
      <c r="S54" s="818">
        <f t="shared" si="14"/>
        <v>42</v>
      </c>
      <c r="T54" s="818">
        <f t="shared" si="15"/>
        <v>40</v>
      </c>
      <c r="U54" s="818">
        <f t="shared" si="16"/>
        <v>187</v>
      </c>
      <c r="V54" s="819"/>
      <c r="W54" s="818">
        <f t="shared" si="17"/>
        <v>269</v>
      </c>
      <c r="X54" s="818"/>
      <c r="Y54" s="818"/>
      <c r="Z54" s="818">
        <f t="shared" si="9"/>
        <v>22</v>
      </c>
      <c r="AA54" s="818">
        <f t="shared" si="10"/>
        <v>12368</v>
      </c>
      <c r="AB54" s="818">
        <f t="shared" si="11"/>
        <v>4866305</v>
      </c>
      <c r="AC54" s="818">
        <f>SUM(Z54:AB54)</f>
        <v>4878695</v>
      </c>
    </row>
    <row r="55" spans="1:29" s="356" customFormat="1" x14ac:dyDescent="0.2">
      <c r="A55" s="966"/>
      <c r="B55" s="966"/>
      <c r="C55" s="966"/>
      <c r="D55" s="966"/>
      <c r="E55" s="966"/>
      <c r="F55" s="966"/>
      <c r="G55" s="966"/>
      <c r="H55" s="966"/>
      <c r="I55" s="966"/>
      <c r="J55" s="966"/>
      <c r="K55" s="966"/>
      <c r="L55" s="966"/>
      <c r="M55" s="966"/>
      <c r="N55" s="966"/>
      <c r="O55" s="966"/>
      <c r="R55" s="817">
        <v>2010</v>
      </c>
      <c r="S55" s="818">
        <f t="shared" si="14"/>
        <v>48</v>
      </c>
      <c r="T55" s="818">
        <f t="shared" si="15"/>
        <v>39</v>
      </c>
      <c r="U55" s="818">
        <f t="shared" si="16"/>
        <v>171</v>
      </c>
      <c r="V55" s="819"/>
      <c r="W55" s="818">
        <f t="shared" si="17"/>
        <v>258</v>
      </c>
      <c r="X55" s="818"/>
      <c r="Y55" s="818"/>
      <c r="Z55" s="818">
        <f t="shared" si="9"/>
        <v>23</v>
      </c>
      <c r="AA55" s="818">
        <f t="shared" si="10"/>
        <v>13331</v>
      </c>
      <c r="AB55" s="818">
        <f t="shared" si="11"/>
        <v>5157284</v>
      </c>
      <c r="AC55" s="818">
        <f>SUM(Z55:AB55)</f>
        <v>5170638</v>
      </c>
    </row>
    <row r="56" spans="1:29" s="356" customFormat="1" x14ac:dyDescent="0.2">
      <c r="A56" s="966"/>
      <c r="B56" s="966"/>
      <c r="C56" s="966"/>
      <c r="D56" s="966"/>
      <c r="E56" s="966"/>
      <c r="F56" s="966"/>
      <c r="G56" s="966"/>
      <c r="H56" s="966"/>
      <c r="I56" s="966"/>
      <c r="J56" s="966"/>
      <c r="K56" s="966"/>
      <c r="L56" s="966"/>
      <c r="M56" s="966"/>
      <c r="N56" s="966"/>
      <c r="O56" s="966"/>
      <c r="R56" s="817">
        <v>2011</v>
      </c>
      <c r="S56" s="818">
        <f t="shared" si="14"/>
        <v>48</v>
      </c>
      <c r="T56" s="818">
        <f t="shared" si="15"/>
        <v>45</v>
      </c>
      <c r="U56" s="818">
        <f t="shared" si="16"/>
        <v>168</v>
      </c>
      <c r="V56" s="819"/>
      <c r="W56" s="818">
        <f t="shared" si="17"/>
        <v>261</v>
      </c>
      <c r="X56" s="818"/>
      <c r="Y56" s="818">
        <f t="shared" ref="Y56:Y64" si="18">J23</f>
        <v>1</v>
      </c>
      <c r="Z56" s="818">
        <f t="shared" si="9"/>
        <v>24</v>
      </c>
      <c r="AA56" s="818">
        <f t="shared" si="10"/>
        <v>14409</v>
      </c>
      <c r="AB56" s="818">
        <f t="shared" si="11"/>
        <v>5480527</v>
      </c>
      <c r="AC56" s="818">
        <f t="shared" ref="AC56:AC61" si="19">SUM(Y56:AB56)</f>
        <v>5494961</v>
      </c>
    </row>
    <row r="57" spans="1:29" s="356" customFormat="1" x14ac:dyDescent="0.2">
      <c r="A57" s="966"/>
      <c r="B57" s="966"/>
      <c r="C57" s="966"/>
      <c r="D57" s="966"/>
      <c r="E57" s="966"/>
      <c r="F57" s="966"/>
      <c r="G57" s="966"/>
      <c r="H57" s="966"/>
      <c r="I57" s="966"/>
      <c r="J57" s="966"/>
      <c r="K57" s="966"/>
      <c r="L57" s="966"/>
      <c r="M57" s="966"/>
      <c r="N57" s="966"/>
      <c r="O57" s="966"/>
      <c r="R57" s="817">
        <v>2012</v>
      </c>
      <c r="S57" s="818">
        <f t="shared" si="14"/>
        <v>52</v>
      </c>
      <c r="T57" s="818">
        <f t="shared" si="15"/>
        <v>46</v>
      </c>
      <c r="U57" s="818">
        <f t="shared" si="16"/>
        <v>164</v>
      </c>
      <c r="V57" s="819"/>
      <c r="W57" s="818">
        <f t="shared" si="17"/>
        <v>262</v>
      </c>
      <c r="X57" s="561"/>
      <c r="Y57" s="818">
        <f t="shared" si="18"/>
        <v>1</v>
      </c>
      <c r="Z57" s="818">
        <f t="shared" si="9"/>
        <v>19</v>
      </c>
      <c r="AA57" s="818">
        <f t="shared" si="10"/>
        <v>15886</v>
      </c>
      <c r="AB57" s="818">
        <f t="shared" si="11"/>
        <v>5818719</v>
      </c>
      <c r="AC57" s="818">
        <f t="shared" si="19"/>
        <v>5834625</v>
      </c>
    </row>
    <row r="58" spans="1:29" s="356" customFormat="1" x14ac:dyDescent="0.2">
      <c r="A58" s="966"/>
      <c r="B58" s="966"/>
      <c r="C58" s="966"/>
      <c r="D58" s="966"/>
      <c r="E58" s="966"/>
      <c r="F58" s="966"/>
      <c r="G58" s="966"/>
      <c r="H58" s="966"/>
      <c r="I58" s="966"/>
      <c r="J58" s="966"/>
      <c r="K58" s="966"/>
      <c r="L58" s="966"/>
      <c r="M58" s="966"/>
      <c r="N58" s="966"/>
      <c r="O58" s="966"/>
      <c r="R58" s="817">
        <v>2013</v>
      </c>
      <c r="S58" s="818">
        <f t="shared" si="14"/>
        <v>57</v>
      </c>
      <c r="T58" s="818">
        <f t="shared" si="15"/>
        <v>57</v>
      </c>
      <c r="U58" s="818">
        <f t="shared" si="16"/>
        <v>166</v>
      </c>
      <c r="V58" s="819"/>
      <c r="W58" s="818">
        <f t="shared" ref="W58:W64" si="20">SUM(S58:V58)</f>
        <v>280</v>
      </c>
      <c r="X58" s="561"/>
      <c r="Y58" s="818">
        <f t="shared" si="18"/>
        <v>1</v>
      </c>
      <c r="Z58" s="818">
        <f t="shared" si="9"/>
        <v>19</v>
      </c>
      <c r="AA58" s="818">
        <f t="shared" si="10"/>
        <v>16943</v>
      </c>
      <c r="AB58" s="818">
        <f t="shared" si="11"/>
        <v>6139072</v>
      </c>
      <c r="AC58" s="818">
        <f t="shared" si="19"/>
        <v>6156035</v>
      </c>
    </row>
    <row r="59" spans="1:29" s="356" customFormat="1" x14ac:dyDescent="0.2">
      <c r="A59" s="966"/>
      <c r="B59" s="966"/>
      <c r="C59" s="966"/>
      <c r="D59" s="966"/>
      <c r="E59" s="966"/>
      <c r="F59" s="966"/>
      <c r="G59" s="966"/>
      <c r="H59" s="966"/>
      <c r="I59" s="966"/>
      <c r="J59" s="966"/>
      <c r="K59" s="966"/>
      <c r="L59" s="966"/>
      <c r="M59" s="966"/>
      <c r="N59" s="966"/>
      <c r="O59" s="966"/>
      <c r="R59" s="817">
        <v>2014</v>
      </c>
      <c r="S59" s="818">
        <f t="shared" ref="S59:U60" si="21">E26</f>
        <v>67</v>
      </c>
      <c r="T59" s="818">
        <f t="shared" si="21"/>
        <v>60</v>
      </c>
      <c r="U59" s="818">
        <f t="shared" si="21"/>
        <v>172.00000000000003</v>
      </c>
      <c r="V59" s="819"/>
      <c r="W59" s="818">
        <f t="shared" si="20"/>
        <v>299</v>
      </c>
      <c r="X59" s="561"/>
      <c r="Y59" s="818">
        <f t="shared" si="18"/>
        <v>1</v>
      </c>
      <c r="Z59" s="818">
        <f t="shared" ref="Z59:AB60" si="22">K26</f>
        <v>16</v>
      </c>
      <c r="AA59" s="818">
        <f t="shared" si="22"/>
        <v>17700.000000000004</v>
      </c>
      <c r="AB59" s="818">
        <f t="shared" si="22"/>
        <v>6414727</v>
      </c>
      <c r="AC59" s="818">
        <f t="shared" si="19"/>
        <v>6432444</v>
      </c>
    </row>
    <row r="60" spans="1:29" s="356" customFormat="1" x14ac:dyDescent="0.2">
      <c r="A60" s="966"/>
      <c r="B60" s="966"/>
      <c r="C60" s="966"/>
      <c r="D60" s="966"/>
      <c r="E60" s="966"/>
      <c r="F60" s="966"/>
      <c r="G60" s="966"/>
      <c r="H60" s="966"/>
      <c r="I60" s="966"/>
      <c r="J60" s="966"/>
      <c r="K60" s="966"/>
      <c r="L60" s="966"/>
      <c r="M60" s="966"/>
      <c r="N60" s="966"/>
      <c r="O60" s="966"/>
      <c r="R60" s="817">
        <v>2015</v>
      </c>
      <c r="S60" s="818">
        <f t="shared" si="21"/>
        <v>61</v>
      </c>
      <c r="T60" s="818">
        <f t="shared" si="21"/>
        <v>53</v>
      </c>
      <c r="U60" s="818">
        <f t="shared" si="21"/>
        <v>232</v>
      </c>
      <c r="V60" s="819"/>
      <c r="W60" s="818">
        <f t="shared" si="20"/>
        <v>346</v>
      </c>
      <c r="X60" s="561"/>
      <c r="Y60" s="818">
        <f t="shared" si="18"/>
        <v>1</v>
      </c>
      <c r="Z60" s="818">
        <f t="shared" si="22"/>
        <v>17</v>
      </c>
      <c r="AA60" s="818">
        <f t="shared" si="22"/>
        <v>18796</v>
      </c>
      <c r="AB60" s="818">
        <f t="shared" si="22"/>
        <v>6662868</v>
      </c>
      <c r="AC60" s="818">
        <f t="shared" si="19"/>
        <v>6681682</v>
      </c>
    </row>
    <row r="61" spans="1:29" s="356" customFormat="1" x14ac:dyDescent="0.2">
      <c r="A61" s="966"/>
      <c r="B61" s="966"/>
      <c r="C61" s="966"/>
      <c r="D61" s="966"/>
      <c r="E61" s="966"/>
      <c r="F61" s="966"/>
      <c r="G61" s="966"/>
      <c r="H61" s="966"/>
      <c r="I61" s="966"/>
      <c r="J61" s="966"/>
      <c r="K61" s="966"/>
      <c r="L61" s="966"/>
      <c r="M61" s="966"/>
      <c r="N61" s="966"/>
      <c r="O61" s="966"/>
      <c r="R61" s="817">
        <v>2016</v>
      </c>
      <c r="S61" s="818">
        <f t="shared" ref="S61:U62" si="23">E28</f>
        <v>71</v>
      </c>
      <c r="T61" s="818">
        <f t="shared" si="23"/>
        <v>52</v>
      </c>
      <c r="U61" s="818">
        <f t="shared" si="23"/>
        <v>810</v>
      </c>
      <c r="V61" s="819"/>
      <c r="W61" s="818">
        <f t="shared" si="20"/>
        <v>933</v>
      </c>
      <c r="X61" s="561"/>
      <c r="Y61" s="818">
        <f t="shared" si="18"/>
        <v>1</v>
      </c>
      <c r="Z61" s="818">
        <f t="shared" ref="Z61:AB62" si="24">K28</f>
        <v>16</v>
      </c>
      <c r="AA61" s="818">
        <f t="shared" si="24"/>
        <v>18704.999999999996</v>
      </c>
      <c r="AB61" s="818">
        <f t="shared" si="24"/>
        <v>6916853</v>
      </c>
      <c r="AC61" s="818">
        <f t="shared" si="19"/>
        <v>6935575</v>
      </c>
    </row>
    <row r="62" spans="1:29" s="356" customFormat="1" x14ac:dyDescent="0.2">
      <c r="A62" s="966"/>
      <c r="B62" s="966"/>
      <c r="C62" s="966"/>
      <c r="D62" s="966"/>
      <c r="E62" s="966"/>
      <c r="F62" s="966"/>
      <c r="G62" s="966"/>
      <c r="H62" s="966"/>
      <c r="I62" s="966"/>
      <c r="J62" s="966"/>
      <c r="K62" s="966"/>
      <c r="L62" s="966"/>
      <c r="M62" s="966"/>
      <c r="N62" s="966"/>
      <c r="O62" s="966"/>
      <c r="R62" s="817">
        <v>2017</v>
      </c>
      <c r="S62" s="818">
        <f t="shared" si="23"/>
        <v>134</v>
      </c>
      <c r="T62" s="818">
        <f t="shared" si="23"/>
        <v>56</v>
      </c>
      <c r="U62" s="818">
        <f t="shared" si="23"/>
        <v>1225</v>
      </c>
      <c r="V62" s="819"/>
      <c r="W62" s="818">
        <f t="shared" si="20"/>
        <v>1415</v>
      </c>
      <c r="X62" s="561"/>
      <c r="Y62" s="818">
        <f t="shared" si="18"/>
        <v>1</v>
      </c>
      <c r="Z62" s="818">
        <f t="shared" si="24"/>
        <v>12</v>
      </c>
      <c r="AA62" s="818">
        <f t="shared" si="24"/>
        <v>18760</v>
      </c>
      <c r="AB62" s="818">
        <f t="shared" si="24"/>
        <v>7147546</v>
      </c>
      <c r="AC62" s="818">
        <f>SUM(Y62:AB62)</f>
        <v>7166319</v>
      </c>
    </row>
    <row r="63" spans="1:29" s="356" customFormat="1" x14ac:dyDescent="0.2">
      <c r="A63" s="966"/>
      <c r="B63" s="966"/>
      <c r="C63" s="966"/>
      <c r="D63" s="966"/>
      <c r="E63" s="966"/>
      <c r="F63" s="966"/>
      <c r="G63" s="966"/>
      <c r="H63" s="966"/>
      <c r="I63" s="966"/>
      <c r="J63" s="966"/>
      <c r="K63" s="966"/>
      <c r="L63" s="966"/>
      <c r="M63" s="966"/>
      <c r="N63" s="966"/>
      <c r="O63" s="966"/>
      <c r="R63" s="817">
        <v>2018</v>
      </c>
      <c r="S63" s="818">
        <f t="shared" ref="S63:U64" si="25">E30</f>
        <v>185</v>
      </c>
      <c r="T63" s="818">
        <f t="shared" si="25"/>
        <v>59</v>
      </c>
      <c r="U63" s="818">
        <f t="shared" si="25"/>
        <v>1588</v>
      </c>
      <c r="V63" s="819"/>
      <c r="W63" s="818">
        <f t="shared" si="20"/>
        <v>1832</v>
      </c>
      <c r="X63" s="561"/>
      <c r="Y63" s="818">
        <f t="shared" si="18"/>
        <v>1</v>
      </c>
      <c r="Z63" s="818">
        <f t="shared" ref="Z63:AB64" si="26">K30</f>
        <v>10</v>
      </c>
      <c r="AA63" s="818">
        <f t="shared" si="26"/>
        <v>19056.999999999996</v>
      </c>
      <c r="AB63" s="818">
        <f t="shared" si="26"/>
        <v>7356035.9999999925</v>
      </c>
      <c r="AC63" s="818">
        <f>SUM(Y63:AB63)</f>
        <v>7375103.9999999925</v>
      </c>
    </row>
    <row r="64" spans="1:29" s="356" customFormat="1" x14ac:dyDescent="0.2">
      <c r="A64" s="966"/>
      <c r="B64" s="966"/>
      <c r="C64" s="966"/>
      <c r="D64" s="966"/>
      <c r="E64" s="966"/>
      <c r="F64" s="966"/>
      <c r="G64" s="966"/>
      <c r="H64" s="966"/>
      <c r="I64" s="966"/>
      <c r="J64" s="966"/>
      <c r="K64" s="966"/>
      <c r="L64" s="966"/>
      <c r="M64" s="966"/>
      <c r="N64" s="966"/>
      <c r="O64" s="966"/>
      <c r="R64" s="817">
        <v>2019</v>
      </c>
      <c r="S64" s="818">
        <f t="shared" si="25"/>
        <v>230.00000000000003</v>
      </c>
      <c r="T64" s="818">
        <f t="shared" si="25"/>
        <v>62.000000000000021</v>
      </c>
      <c r="U64" s="818">
        <f t="shared" si="25"/>
        <v>1953.0000000000032</v>
      </c>
      <c r="V64" s="967">
        <f>+H31</f>
        <v>1</v>
      </c>
      <c r="W64" s="818">
        <f t="shared" si="20"/>
        <v>2246.0000000000032</v>
      </c>
      <c r="X64" s="967"/>
      <c r="Y64" s="818">
        <f t="shared" si="18"/>
        <v>1</v>
      </c>
      <c r="Z64" s="818">
        <f t="shared" si="26"/>
        <v>9</v>
      </c>
      <c r="AA64" s="818">
        <f t="shared" si="26"/>
        <v>19211.999999999975</v>
      </c>
      <c r="AB64" s="818">
        <f t="shared" si="26"/>
        <v>7544567.9999999637</v>
      </c>
      <c r="AC64" s="818">
        <f>SUM(Y64:AB64)</f>
        <v>7563789.9999999637</v>
      </c>
    </row>
    <row r="65" spans="1:29" s="356" customFormat="1" x14ac:dyDescent="0.2">
      <c r="A65" s="966"/>
      <c r="B65" s="966"/>
      <c r="C65" s="966"/>
      <c r="D65" s="966"/>
      <c r="E65" s="966"/>
      <c r="F65" s="966"/>
      <c r="G65" s="966"/>
      <c r="H65" s="966"/>
      <c r="I65" s="966"/>
      <c r="J65" s="966"/>
      <c r="K65" s="966"/>
      <c r="L65" s="966"/>
      <c r="M65" s="966"/>
      <c r="N65" s="966"/>
      <c r="O65" s="966"/>
      <c r="R65" s="967"/>
      <c r="S65" s="967"/>
      <c r="T65" s="967"/>
      <c r="U65" s="967"/>
      <c r="V65" s="967"/>
      <c r="W65" s="967"/>
      <c r="X65" s="967"/>
      <c r="Y65" s="967"/>
      <c r="Z65" s="967"/>
      <c r="AA65" s="967"/>
      <c r="AB65" s="967"/>
      <c r="AC65" s="967"/>
    </row>
    <row r="66" spans="1:29" s="356" customFormat="1" x14ac:dyDescent="0.2">
      <c r="A66" s="966"/>
      <c r="B66" s="966"/>
      <c r="C66" s="966"/>
      <c r="D66" s="966"/>
      <c r="E66" s="966"/>
      <c r="F66" s="966"/>
      <c r="G66" s="966"/>
      <c r="H66" s="966"/>
      <c r="I66" s="966"/>
      <c r="J66" s="966"/>
      <c r="K66" s="966"/>
      <c r="L66" s="966"/>
      <c r="M66" s="966"/>
      <c r="N66" s="966"/>
      <c r="O66" s="966"/>
      <c r="R66" s="967"/>
      <c r="S66" s="967"/>
      <c r="T66" s="967"/>
      <c r="U66" s="967"/>
      <c r="V66" s="967"/>
      <c r="W66" s="967"/>
      <c r="X66" s="967"/>
      <c r="Y66" s="967"/>
      <c r="Z66" s="967"/>
      <c r="AA66" s="967"/>
      <c r="AB66" s="967"/>
      <c r="AC66" s="967"/>
    </row>
    <row r="67" spans="1:29" s="356" customFormat="1" x14ac:dyDescent="0.2">
      <c r="R67" s="967"/>
      <c r="S67" s="967"/>
      <c r="T67" s="967"/>
      <c r="U67" s="967"/>
      <c r="V67" s="967"/>
      <c r="W67" s="967"/>
      <c r="X67" s="967"/>
      <c r="Y67" s="967"/>
      <c r="Z67" s="967"/>
      <c r="AA67" s="967"/>
      <c r="AB67" s="967"/>
      <c r="AC67" s="967"/>
    </row>
    <row r="68" spans="1:29" s="356" customFormat="1" x14ac:dyDescent="0.2">
      <c r="R68" s="967"/>
      <c r="S68" s="967"/>
      <c r="T68" s="967"/>
      <c r="U68" s="967"/>
      <c r="V68" s="967"/>
      <c r="W68" s="967"/>
      <c r="X68" s="967"/>
      <c r="Y68" s="967"/>
      <c r="Z68" s="967"/>
      <c r="AA68" s="967"/>
      <c r="AB68" s="967"/>
      <c r="AC68" s="967"/>
    </row>
    <row r="69" spans="1:29" s="356" customFormat="1" x14ac:dyDescent="0.2">
      <c r="R69" s="967"/>
      <c r="S69" s="967"/>
      <c r="T69" s="967"/>
      <c r="U69" s="967"/>
      <c r="V69" s="967"/>
      <c r="W69" s="967"/>
      <c r="X69" s="967"/>
      <c r="Y69" s="967"/>
      <c r="Z69" s="967"/>
      <c r="AA69" s="967"/>
      <c r="AB69" s="967"/>
      <c r="AC69" s="967"/>
    </row>
    <row r="70" spans="1:29" s="356" customFormat="1" x14ac:dyDescent="0.2">
      <c r="R70" s="967"/>
      <c r="S70" s="967"/>
      <c r="T70" s="967"/>
      <c r="U70" s="967"/>
      <c r="V70" s="967"/>
      <c r="W70" s="967"/>
      <c r="X70" s="967"/>
      <c r="Y70" s="967"/>
      <c r="Z70" s="967"/>
      <c r="AA70" s="967"/>
      <c r="AB70" s="967"/>
      <c r="AC70" s="967"/>
    </row>
    <row r="71" spans="1:29" s="356" customFormat="1" x14ac:dyDescent="0.2">
      <c r="R71" s="967"/>
      <c r="S71" s="967"/>
      <c r="T71" s="967"/>
      <c r="U71" s="967"/>
      <c r="V71" s="967"/>
      <c r="W71" s="967"/>
      <c r="X71" s="967"/>
      <c r="Y71" s="967"/>
      <c r="Z71" s="967"/>
      <c r="AA71" s="967"/>
      <c r="AB71" s="967"/>
      <c r="AC71" s="967"/>
    </row>
    <row r="72" spans="1:29" s="356" customFormat="1" x14ac:dyDescent="0.2">
      <c r="R72" s="967"/>
      <c r="S72" s="967"/>
      <c r="T72" s="967"/>
      <c r="U72" s="967"/>
      <c r="V72" s="967"/>
      <c r="W72" s="967"/>
      <c r="X72" s="967"/>
      <c r="Y72" s="967"/>
      <c r="Z72" s="967"/>
      <c r="AA72" s="967"/>
      <c r="AB72" s="967"/>
      <c r="AC72" s="967"/>
    </row>
    <row r="73" spans="1:29" s="356" customFormat="1" x14ac:dyDescent="0.2">
      <c r="R73" s="967"/>
      <c r="S73" s="967"/>
      <c r="T73" s="967"/>
      <c r="U73" s="967"/>
      <c r="V73" s="967"/>
      <c r="W73" s="967"/>
      <c r="X73" s="967"/>
      <c r="Y73" s="967"/>
      <c r="Z73" s="967"/>
      <c r="AA73" s="967"/>
      <c r="AB73" s="967"/>
      <c r="AC73" s="967"/>
    </row>
    <row r="74" spans="1:29" s="356" customFormat="1" x14ac:dyDescent="0.2">
      <c r="R74" s="967"/>
      <c r="S74" s="967"/>
      <c r="T74" s="967"/>
      <c r="U74" s="967"/>
      <c r="V74" s="967"/>
      <c r="W74" s="967"/>
      <c r="X74" s="967"/>
      <c r="Y74" s="967"/>
      <c r="Z74" s="967"/>
      <c r="AA74" s="967"/>
      <c r="AB74" s="967"/>
      <c r="AC74" s="967"/>
    </row>
    <row r="75" spans="1:29" s="356" customFormat="1" x14ac:dyDescent="0.2">
      <c r="R75" s="967"/>
      <c r="S75" s="967"/>
      <c r="T75" s="967"/>
      <c r="U75" s="967"/>
      <c r="V75" s="967"/>
      <c r="W75" s="967"/>
      <c r="X75" s="967"/>
      <c r="Y75" s="967"/>
      <c r="Z75" s="967"/>
      <c r="AA75" s="967"/>
      <c r="AB75" s="967"/>
      <c r="AC75" s="967"/>
    </row>
    <row r="76" spans="1:29" s="356" customFormat="1" x14ac:dyDescent="0.2">
      <c r="R76" s="967"/>
      <c r="S76" s="967"/>
      <c r="T76" s="967"/>
      <c r="U76" s="967"/>
      <c r="V76" s="967"/>
      <c r="W76" s="967"/>
      <c r="X76" s="967"/>
      <c r="Y76" s="967"/>
      <c r="Z76" s="967"/>
      <c r="AA76" s="967"/>
      <c r="AB76" s="967"/>
      <c r="AC76" s="967"/>
    </row>
    <row r="77" spans="1:29" s="356" customFormat="1" x14ac:dyDescent="0.2">
      <c r="R77" s="967"/>
      <c r="S77" s="967"/>
      <c r="T77" s="967"/>
      <c r="U77" s="967"/>
      <c r="V77" s="967"/>
      <c r="W77" s="967"/>
      <c r="X77" s="967"/>
      <c r="Y77" s="967"/>
      <c r="Z77" s="967"/>
      <c r="AA77" s="967"/>
      <c r="AB77" s="967"/>
      <c r="AC77" s="967"/>
    </row>
    <row r="78" spans="1:29" s="356" customFormat="1" x14ac:dyDescent="0.2">
      <c r="R78" s="967"/>
      <c r="S78" s="967"/>
      <c r="T78" s="967"/>
      <c r="U78" s="967"/>
      <c r="V78" s="967"/>
      <c r="W78" s="967"/>
      <c r="X78" s="967"/>
      <c r="Y78" s="967"/>
      <c r="Z78" s="967"/>
      <c r="AA78" s="967"/>
      <c r="AB78" s="967"/>
      <c r="AC78" s="967"/>
    </row>
    <row r="79" spans="1:29" s="356" customFormat="1" x14ac:dyDescent="0.2">
      <c r="R79" s="967"/>
      <c r="S79" s="967"/>
      <c r="T79" s="967"/>
      <c r="U79" s="967"/>
      <c r="V79" s="967"/>
      <c r="W79" s="967"/>
      <c r="X79" s="967"/>
      <c r="Y79" s="967"/>
      <c r="Z79" s="967"/>
      <c r="AA79" s="967"/>
      <c r="AB79" s="967"/>
      <c r="AC79" s="967"/>
    </row>
    <row r="80" spans="1:29" s="356" customFormat="1" x14ac:dyDescent="0.2">
      <c r="R80" s="967"/>
      <c r="S80" s="967"/>
      <c r="T80" s="967"/>
      <c r="U80" s="967"/>
      <c r="V80" s="967"/>
      <c r="W80" s="967"/>
      <c r="X80" s="967"/>
      <c r="Y80" s="967"/>
      <c r="Z80" s="967"/>
      <c r="AA80" s="967"/>
      <c r="AB80" s="967"/>
      <c r="AC80" s="967"/>
    </row>
    <row r="81" spans="18:29" s="356" customFormat="1" x14ac:dyDescent="0.2">
      <c r="R81" s="967"/>
      <c r="S81" s="967"/>
      <c r="T81" s="967"/>
      <c r="U81" s="967"/>
      <c r="V81" s="967"/>
      <c r="W81" s="967"/>
      <c r="X81" s="967"/>
      <c r="Y81" s="967"/>
      <c r="Z81" s="967"/>
      <c r="AA81" s="967"/>
      <c r="AB81" s="967"/>
      <c r="AC81" s="967"/>
    </row>
    <row r="82" spans="18:29" s="356" customFormat="1" x14ac:dyDescent="0.2">
      <c r="R82" s="967"/>
      <c r="S82" s="967"/>
      <c r="T82" s="967"/>
      <c r="U82" s="967"/>
      <c r="V82" s="967"/>
      <c r="W82" s="967"/>
      <c r="X82" s="967"/>
      <c r="Y82" s="967"/>
      <c r="Z82" s="967"/>
      <c r="AA82" s="967"/>
      <c r="AB82" s="967"/>
      <c r="AC82" s="967"/>
    </row>
    <row r="83" spans="18:29" s="356" customFormat="1" x14ac:dyDescent="0.2">
      <c r="R83" s="967"/>
      <c r="S83" s="967"/>
      <c r="T83" s="967"/>
      <c r="U83" s="967"/>
      <c r="V83" s="967"/>
      <c r="W83" s="967"/>
      <c r="X83" s="967"/>
      <c r="Y83" s="967"/>
      <c r="Z83" s="967"/>
      <c r="AA83" s="967"/>
      <c r="AB83" s="967"/>
      <c r="AC83" s="967"/>
    </row>
    <row r="84" spans="18:29" s="356" customFormat="1" x14ac:dyDescent="0.2">
      <c r="R84" s="967"/>
      <c r="S84" s="967"/>
      <c r="T84" s="967"/>
      <c r="U84" s="967"/>
      <c r="V84" s="967"/>
      <c r="W84" s="967"/>
      <c r="X84" s="967"/>
      <c r="Y84" s="967"/>
      <c r="Z84" s="967"/>
      <c r="AA84" s="967"/>
      <c r="AB84" s="967"/>
      <c r="AC84" s="967"/>
    </row>
    <row r="85" spans="18:29" s="356" customFormat="1" x14ac:dyDescent="0.2">
      <c r="R85" s="967"/>
      <c r="S85" s="967"/>
      <c r="T85" s="967"/>
      <c r="U85" s="967"/>
      <c r="V85" s="967"/>
      <c r="W85" s="967"/>
      <c r="X85" s="967"/>
      <c r="Y85" s="967"/>
      <c r="Z85" s="967"/>
      <c r="AA85" s="967"/>
      <c r="AB85" s="967"/>
      <c r="AC85" s="967"/>
    </row>
    <row r="86" spans="18:29" s="356" customFormat="1" x14ac:dyDescent="0.2">
      <c r="R86" s="967"/>
      <c r="S86" s="967"/>
      <c r="T86" s="967"/>
      <c r="U86" s="967"/>
      <c r="V86" s="967"/>
      <c r="W86" s="967"/>
      <c r="X86" s="967"/>
      <c r="Y86" s="967"/>
      <c r="Z86" s="967"/>
      <c r="AA86" s="967"/>
      <c r="AB86" s="967"/>
      <c r="AC86" s="967"/>
    </row>
    <row r="87" spans="18:29" s="356" customFormat="1" x14ac:dyDescent="0.2">
      <c r="R87" s="967"/>
      <c r="S87" s="967"/>
      <c r="T87" s="967"/>
      <c r="U87" s="967"/>
      <c r="V87" s="967"/>
      <c r="W87" s="967"/>
      <c r="X87" s="967"/>
      <c r="Y87" s="967"/>
      <c r="Z87" s="967"/>
      <c r="AA87" s="967"/>
      <c r="AB87" s="967"/>
      <c r="AC87" s="967"/>
    </row>
    <row r="88" spans="18:29" s="356" customFormat="1" x14ac:dyDescent="0.2">
      <c r="R88" s="967"/>
      <c r="S88" s="967"/>
      <c r="T88" s="967"/>
      <c r="U88" s="967"/>
      <c r="V88" s="967"/>
      <c r="W88" s="967"/>
      <c r="X88" s="967"/>
      <c r="Y88" s="967"/>
      <c r="Z88" s="967"/>
      <c r="AA88" s="967"/>
      <c r="AB88" s="967"/>
      <c r="AC88" s="967"/>
    </row>
    <row r="89" spans="18:29" s="356" customFormat="1" x14ac:dyDescent="0.2">
      <c r="R89" s="967"/>
      <c r="S89" s="967"/>
      <c r="T89" s="967"/>
      <c r="U89" s="967"/>
      <c r="V89" s="967"/>
      <c r="W89" s="967"/>
      <c r="X89" s="967"/>
      <c r="Y89" s="967"/>
      <c r="Z89" s="967"/>
      <c r="AA89" s="967"/>
      <c r="AB89" s="967"/>
      <c r="AC89" s="967"/>
    </row>
  </sheetData>
  <mergeCells count="32">
    <mergeCell ref="B38:D38"/>
    <mergeCell ref="B28:C28"/>
    <mergeCell ref="B13:C13"/>
    <mergeCell ref="B15:C15"/>
    <mergeCell ref="B21:C21"/>
    <mergeCell ref="B20:C20"/>
    <mergeCell ref="B32:C32"/>
    <mergeCell ref="B26:C26"/>
    <mergeCell ref="B27:C27"/>
    <mergeCell ref="B16:C16"/>
    <mergeCell ref="B17:C17"/>
    <mergeCell ref="B22:C22"/>
    <mergeCell ref="B25:C25"/>
    <mergeCell ref="B14:C14"/>
    <mergeCell ref="B18:C18"/>
    <mergeCell ref="B19:C19"/>
    <mergeCell ref="B31:C31"/>
    <mergeCell ref="N4:N5"/>
    <mergeCell ref="B11:C11"/>
    <mergeCell ref="I4:I5"/>
    <mergeCell ref="E4:H4"/>
    <mergeCell ref="B10:C10"/>
    <mergeCell ref="B4:C5"/>
    <mergeCell ref="B8:C8"/>
    <mergeCell ref="J4:M4"/>
    <mergeCell ref="B7:C7"/>
    <mergeCell ref="B9:C9"/>
    <mergeCell ref="B24:C24"/>
    <mergeCell ref="B30:C30"/>
    <mergeCell ref="B12:C12"/>
    <mergeCell ref="B23:C23"/>
    <mergeCell ref="B29:C29"/>
  </mergeCells>
  <phoneticPr fontId="0" type="noConversion"/>
  <pageMargins left="0.94" right="0.18" top="0.78" bottom="1" header="0" footer="0"/>
  <pageSetup paperSize="9" scale="6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3"/>
  <sheetViews>
    <sheetView view="pageBreakPreview" topLeftCell="A34" zoomScale="90" zoomScaleNormal="80" zoomScaleSheetLayoutView="90" workbookViewId="0">
      <selection activeCell="Q51" sqref="Q51"/>
    </sheetView>
  </sheetViews>
  <sheetFormatPr baseColWidth="10" defaultColWidth="11.42578125" defaultRowHeight="12.75" x14ac:dyDescent="0.2"/>
  <cols>
    <col min="1" max="1" width="3.5703125" style="197" customWidth="1"/>
    <col min="2" max="2" width="18.42578125" style="197" customWidth="1"/>
    <col min="3" max="4" width="12.140625" style="197" customWidth="1"/>
    <col min="5" max="5" width="16.28515625" style="197" customWidth="1"/>
    <col min="6" max="6" width="13.42578125" style="197" customWidth="1"/>
    <col min="7" max="9" width="12.28515625" style="197" customWidth="1"/>
    <col min="10" max="15" width="11.7109375" style="197" customWidth="1"/>
    <col min="16" max="16" width="10" style="197" customWidth="1"/>
    <col min="17" max="19" width="11.42578125" style="602"/>
    <col min="20" max="20" width="22" style="602" bestFit="1" customWidth="1"/>
    <col min="21" max="29" width="11.42578125" style="602"/>
    <col min="30" max="16384" width="11.42578125" style="197"/>
  </cols>
  <sheetData>
    <row r="1" spans="1:29" hidden="1" x14ac:dyDescent="0.2">
      <c r="A1" s="201" t="s">
        <v>64</v>
      </c>
    </row>
    <row r="2" spans="1:29" hidden="1" x14ac:dyDescent="0.2">
      <c r="B2" s="201"/>
    </row>
    <row r="3" spans="1:29" ht="13.5" hidden="1" thickBot="1" x14ac:dyDescent="0.25">
      <c r="B3" s="201"/>
    </row>
    <row r="4" spans="1:29" hidden="1" x14ac:dyDescent="0.2">
      <c r="B4" s="1340" t="s">
        <v>57</v>
      </c>
      <c r="C4" s="1342" t="s">
        <v>65</v>
      </c>
      <c r="D4" s="1342"/>
      <c r="E4" s="1342"/>
      <c r="F4" s="1343"/>
    </row>
    <row r="5" spans="1:29" ht="13.5" hidden="1" thickBot="1" x14ac:dyDescent="0.25">
      <c r="B5" s="1341"/>
      <c r="C5" s="848" t="s">
        <v>0</v>
      </c>
      <c r="D5" s="849" t="s">
        <v>11</v>
      </c>
      <c r="E5" s="849" t="s">
        <v>66</v>
      </c>
      <c r="F5" s="850" t="s">
        <v>10</v>
      </c>
    </row>
    <row r="6" spans="1:29" s="823" customFormat="1" hidden="1" x14ac:dyDescent="0.2">
      <c r="B6" s="826"/>
      <c r="C6" s="830"/>
      <c r="D6" s="831"/>
      <c r="E6" s="831"/>
      <c r="F6" s="832"/>
      <c r="Q6" s="933"/>
      <c r="R6" s="933"/>
      <c r="S6" s="933"/>
      <c r="T6" s="933"/>
      <c r="U6" s="933"/>
      <c r="V6" s="933"/>
      <c r="W6" s="933"/>
      <c r="X6" s="933"/>
      <c r="Y6" s="933"/>
      <c r="Z6" s="933"/>
      <c r="AA6" s="933"/>
      <c r="AB6" s="933"/>
      <c r="AC6" s="933"/>
    </row>
    <row r="7" spans="1:29" hidden="1" x14ac:dyDescent="0.2">
      <c r="B7" s="827">
        <v>1995</v>
      </c>
      <c r="C7" s="833">
        <f t="shared" ref="C7:C28" si="0">SUM(D7:F7)</f>
        <v>7479</v>
      </c>
      <c r="D7" s="834">
        <v>2080</v>
      </c>
      <c r="E7" s="834">
        <v>306</v>
      </c>
      <c r="F7" s="835">
        <v>5093</v>
      </c>
    </row>
    <row r="8" spans="1:29" hidden="1" x14ac:dyDescent="0.2">
      <c r="B8" s="828">
        <v>1996</v>
      </c>
      <c r="C8" s="836">
        <f t="shared" si="0"/>
        <v>6401</v>
      </c>
      <c r="D8" s="837">
        <v>1672</v>
      </c>
      <c r="E8" s="837">
        <v>351</v>
      </c>
      <c r="F8" s="838">
        <v>4378</v>
      </c>
    </row>
    <row r="9" spans="1:29" hidden="1" x14ac:dyDescent="0.2">
      <c r="B9" s="827">
        <v>1997</v>
      </c>
      <c r="C9" s="833">
        <f t="shared" si="0"/>
        <v>6140</v>
      </c>
      <c r="D9" s="834">
        <v>2006</v>
      </c>
      <c r="E9" s="834">
        <v>345</v>
      </c>
      <c r="F9" s="835">
        <v>3789</v>
      </c>
    </row>
    <row r="10" spans="1:29" hidden="1" x14ac:dyDescent="0.2">
      <c r="B10" s="828">
        <v>1998</v>
      </c>
      <c r="C10" s="836">
        <f t="shared" si="0"/>
        <v>6138</v>
      </c>
      <c r="D10" s="837">
        <v>1884</v>
      </c>
      <c r="E10" s="837">
        <v>419</v>
      </c>
      <c r="F10" s="838">
        <v>3835</v>
      </c>
    </row>
    <row r="11" spans="1:29" hidden="1" x14ac:dyDescent="0.2">
      <c r="B11" s="827">
        <v>1999</v>
      </c>
      <c r="C11" s="833">
        <f t="shared" si="0"/>
        <v>5477</v>
      </c>
      <c r="D11" s="839">
        <v>1806</v>
      </c>
      <c r="E11" s="834">
        <v>436</v>
      </c>
      <c r="F11" s="835">
        <v>3235</v>
      </c>
    </row>
    <row r="12" spans="1:29" hidden="1" x14ac:dyDescent="0.2">
      <c r="B12" s="828">
        <v>2000</v>
      </c>
      <c r="C12" s="836">
        <f t="shared" si="0"/>
        <v>5241</v>
      </c>
      <c r="D12" s="837">
        <v>1733</v>
      </c>
      <c r="E12" s="837">
        <v>512</v>
      </c>
      <c r="F12" s="838">
        <v>2996</v>
      </c>
    </row>
    <row r="13" spans="1:29" hidden="1" x14ac:dyDescent="0.2">
      <c r="B13" s="827">
        <v>2001</v>
      </c>
      <c r="C13" s="833">
        <f t="shared" si="0"/>
        <v>5274</v>
      </c>
      <c r="D13" s="834">
        <v>1708</v>
      </c>
      <c r="E13" s="834">
        <v>571</v>
      </c>
      <c r="F13" s="835">
        <v>2995</v>
      </c>
    </row>
    <row r="14" spans="1:29" hidden="1" x14ac:dyDescent="0.2">
      <c r="B14" s="828">
        <v>2002</v>
      </c>
      <c r="C14" s="836">
        <f t="shared" si="0"/>
        <v>5725</v>
      </c>
      <c r="D14" s="837">
        <v>1832</v>
      </c>
      <c r="E14" s="837">
        <v>544</v>
      </c>
      <c r="F14" s="838">
        <v>3349</v>
      </c>
    </row>
    <row r="15" spans="1:29" hidden="1" x14ac:dyDescent="0.2">
      <c r="B15" s="827">
        <v>2003</v>
      </c>
      <c r="C15" s="833">
        <f t="shared" si="0"/>
        <v>6203</v>
      </c>
      <c r="D15" s="834">
        <v>1901</v>
      </c>
      <c r="E15" s="834">
        <v>711</v>
      </c>
      <c r="F15" s="835">
        <v>3591</v>
      </c>
    </row>
    <row r="16" spans="1:29" hidden="1" x14ac:dyDescent="0.2">
      <c r="B16" s="828">
        <v>2004</v>
      </c>
      <c r="C16" s="836">
        <f t="shared" si="0"/>
        <v>5938</v>
      </c>
      <c r="D16" s="837">
        <v>1600</v>
      </c>
      <c r="E16" s="837">
        <v>444</v>
      </c>
      <c r="F16" s="838">
        <v>3894</v>
      </c>
    </row>
    <row r="17" spans="2:6" hidden="1" x14ac:dyDescent="0.2">
      <c r="B17" s="827">
        <v>2005</v>
      </c>
      <c r="C17" s="833">
        <f t="shared" si="0"/>
        <v>6055</v>
      </c>
      <c r="D17" s="834">
        <v>1721</v>
      </c>
      <c r="E17" s="834">
        <v>420</v>
      </c>
      <c r="F17" s="835">
        <v>3914</v>
      </c>
    </row>
    <row r="18" spans="2:6" hidden="1" x14ac:dyDescent="0.2">
      <c r="B18" s="828">
        <v>2006</v>
      </c>
      <c r="C18" s="836">
        <f t="shared" si="0"/>
        <v>6157</v>
      </c>
      <c r="D18" s="837">
        <v>1730</v>
      </c>
      <c r="E18" s="837">
        <v>433</v>
      </c>
      <c r="F18" s="838">
        <v>3994</v>
      </c>
    </row>
    <row r="19" spans="2:6" hidden="1" x14ac:dyDescent="0.2">
      <c r="B19" s="827">
        <v>2007</v>
      </c>
      <c r="C19" s="833">
        <f t="shared" si="0"/>
        <v>6347</v>
      </c>
      <c r="D19" s="834">
        <v>1939</v>
      </c>
      <c r="E19" s="834">
        <v>431</v>
      </c>
      <c r="F19" s="835">
        <v>3977</v>
      </c>
    </row>
    <row r="20" spans="2:6" hidden="1" x14ac:dyDescent="0.2">
      <c r="B20" s="828">
        <v>2008</v>
      </c>
      <c r="C20" s="836">
        <f t="shared" si="0"/>
        <v>6427</v>
      </c>
      <c r="D20" s="837">
        <v>1943</v>
      </c>
      <c r="E20" s="837">
        <v>456</v>
      </c>
      <c r="F20" s="838">
        <v>4028</v>
      </c>
    </row>
    <row r="21" spans="2:6" hidden="1" x14ac:dyDescent="0.2">
      <c r="B21" s="827">
        <v>2009</v>
      </c>
      <c r="C21" s="833">
        <f t="shared" si="0"/>
        <v>6758</v>
      </c>
      <c r="D21" s="839">
        <v>2156</v>
      </c>
      <c r="E21" s="834">
        <v>469</v>
      </c>
      <c r="F21" s="835">
        <v>4133</v>
      </c>
    </row>
    <row r="22" spans="2:6" ht="12.75" hidden="1" customHeight="1" x14ac:dyDescent="0.2">
      <c r="B22" s="828">
        <v>2010</v>
      </c>
      <c r="C22" s="836">
        <f t="shared" si="0"/>
        <v>6901</v>
      </c>
      <c r="D22" s="837">
        <v>2296</v>
      </c>
      <c r="E22" s="837">
        <v>474</v>
      </c>
      <c r="F22" s="838">
        <v>4131</v>
      </c>
    </row>
    <row r="23" spans="2:6" ht="12.75" hidden="1" customHeight="1" x14ac:dyDescent="0.2">
      <c r="B23" s="827">
        <v>2011</v>
      </c>
      <c r="C23" s="833">
        <f t="shared" si="0"/>
        <v>7677</v>
      </c>
      <c r="D23" s="834">
        <v>2411</v>
      </c>
      <c r="E23" s="834">
        <v>560</v>
      </c>
      <c r="F23" s="835">
        <v>4706</v>
      </c>
    </row>
    <row r="24" spans="2:6" ht="12.75" hidden="1" customHeight="1" x14ac:dyDescent="0.2">
      <c r="B24" s="828">
        <v>2012</v>
      </c>
      <c r="C24" s="836">
        <f t="shared" si="0"/>
        <v>7903</v>
      </c>
      <c r="D24" s="837">
        <v>2476</v>
      </c>
      <c r="E24" s="837">
        <v>560</v>
      </c>
      <c r="F24" s="838">
        <v>4867</v>
      </c>
    </row>
    <row r="25" spans="2:6" hidden="1" x14ac:dyDescent="0.2">
      <c r="B25" s="827">
        <v>2013</v>
      </c>
      <c r="C25" s="833">
        <f t="shared" si="0"/>
        <v>7842</v>
      </c>
      <c r="D25" s="834">
        <v>2392</v>
      </c>
      <c r="E25" s="834">
        <v>538</v>
      </c>
      <c r="F25" s="835">
        <v>4912</v>
      </c>
    </row>
    <row r="26" spans="2:6" hidden="1" x14ac:dyDescent="0.2">
      <c r="B26" s="828">
        <v>2014</v>
      </c>
      <c r="C26" s="836">
        <f t="shared" si="0"/>
        <v>8541</v>
      </c>
      <c r="D26" s="837">
        <v>3068</v>
      </c>
      <c r="E26" s="837">
        <v>594</v>
      </c>
      <c r="F26" s="838">
        <v>4879</v>
      </c>
    </row>
    <row r="27" spans="2:6" hidden="1" x14ac:dyDescent="0.2">
      <c r="B27" s="827">
        <v>2015</v>
      </c>
      <c r="C27" s="833">
        <f t="shared" si="0"/>
        <v>8764</v>
      </c>
      <c r="D27" s="834">
        <v>2574</v>
      </c>
      <c r="E27" s="834">
        <v>872</v>
      </c>
      <c r="F27" s="835">
        <v>5318</v>
      </c>
    </row>
    <row r="28" spans="2:6" hidden="1" x14ac:dyDescent="0.2">
      <c r="B28" s="828">
        <v>2016</v>
      </c>
      <c r="C28" s="836">
        <f t="shared" si="0"/>
        <v>8745</v>
      </c>
      <c r="D28" s="837">
        <v>2740</v>
      </c>
      <c r="E28" s="837">
        <v>809</v>
      </c>
      <c r="F28" s="838">
        <v>5196</v>
      </c>
    </row>
    <row r="29" spans="2:6" hidden="1" x14ac:dyDescent="0.2">
      <c r="B29" s="827">
        <v>2017</v>
      </c>
      <c r="C29" s="833">
        <f>SUM(D29:F29)</f>
        <v>8745</v>
      </c>
      <c r="D29" s="834">
        <v>2740</v>
      </c>
      <c r="E29" s="834">
        <v>809</v>
      </c>
      <c r="F29" s="835">
        <v>5196</v>
      </c>
    </row>
    <row r="30" spans="2:6" ht="13.5" hidden="1" thickBot="1" x14ac:dyDescent="0.25">
      <c r="B30" s="844"/>
      <c r="C30" s="845"/>
      <c r="D30" s="846"/>
      <c r="E30" s="846"/>
      <c r="F30" s="847"/>
    </row>
    <row r="31" spans="2:6" hidden="1" x14ac:dyDescent="0.2"/>
    <row r="32" spans="2:6" hidden="1" x14ac:dyDescent="0.2"/>
    <row r="33" spans="1:29" hidden="1" x14ac:dyDescent="0.2"/>
    <row r="34" spans="1:29" x14ac:dyDescent="0.2">
      <c r="A34" s="201" t="s">
        <v>67</v>
      </c>
    </row>
    <row r="35" spans="1:29" ht="27" customHeight="1" thickBot="1" x14ac:dyDescent="0.25"/>
    <row r="36" spans="1:29" ht="20.25" customHeight="1" thickBot="1" x14ac:dyDescent="0.25">
      <c r="B36" s="1204" t="s">
        <v>18</v>
      </c>
      <c r="C36" s="1344" t="s">
        <v>68</v>
      </c>
      <c r="D36" s="1345"/>
    </row>
    <row r="37" spans="1:29" s="823" customFormat="1" x14ac:dyDescent="0.2">
      <c r="B37" s="385"/>
      <c r="C37" s="532"/>
      <c r="D37" s="533"/>
      <c r="Q37" s="933"/>
      <c r="R37" s="933"/>
      <c r="S37" s="933"/>
      <c r="T37" s="933"/>
      <c r="U37" s="933"/>
      <c r="V37" s="933"/>
      <c r="W37" s="933"/>
      <c r="X37" s="933"/>
      <c r="Y37" s="933"/>
      <c r="Z37" s="933"/>
      <c r="AA37" s="933"/>
      <c r="AB37" s="933"/>
      <c r="AC37" s="933"/>
    </row>
    <row r="38" spans="1:29" x14ac:dyDescent="0.2">
      <c r="B38" s="824">
        <v>1995</v>
      </c>
      <c r="C38" s="1332">
        <v>19.7</v>
      </c>
      <c r="D38" s="1333"/>
    </row>
    <row r="39" spans="1:29" x14ac:dyDescent="0.2">
      <c r="B39" s="69">
        <v>1996</v>
      </c>
      <c r="C39" s="1334">
        <v>17</v>
      </c>
      <c r="D39" s="1335"/>
    </row>
    <row r="40" spans="1:29" x14ac:dyDescent="0.2">
      <c r="B40" s="824">
        <v>1997</v>
      </c>
      <c r="C40" s="1332">
        <v>14.5</v>
      </c>
      <c r="D40" s="1333"/>
    </row>
    <row r="41" spans="1:29" x14ac:dyDescent="0.2">
      <c r="B41" s="69">
        <v>1998</v>
      </c>
      <c r="C41" s="1334">
        <v>12.4</v>
      </c>
      <c r="D41" s="1335"/>
    </row>
    <row r="42" spans="1:29" x14ac:dyDescent="0.2">
      <c r="B42" s="824">
        <v>1999</v>
      </c>
      <c r="C42" s="1332">
        <v>11.3</v>
      </c>
      <c r="D42" s="1333"/>
    </row>
    <row r="43" spans="1:29" x14ac:dyDescent="0.2">
      <c r="B43" s="69">
        <v>2000</v>
      </c>
      <c r="C43" s="1334">
        <v>10.4</v>
      </c>
      <c r="D43" s="1335"/>
    </row>
    <row r="44" spans="1:29" x14ac:dyDescent="0.2">
      <c r="B44" s="824">
        <v>2001</v>
      </c>
      <c r="C44" s="1332">
        <v>9.6999999999999993</v>
      </c>
      <c r="D44" s="1333"/>
    </row>
    <row r="45" spans="1:29" x14ac:dyDescent="0.2">
      <c r="B45" s="69">
        <v>2002</v>
      </c>
      <c r="C45" s="1334">
        <v>9.1</v>
      </c>
      <c r="D45" s="1335"/>
      <c r="E45" s="198"/>
    </row>
    <row r="46" spans="1:29" x14ac:dyDescent="0.2">
      <c r="B46" s="824">
        <v>2003</v>
      </c>
      <c r="C46" s="1332">
        <v>9.07</v>
      </c>
      <c r="D46" s="1333"/>
    </row>
    <row r="47" spans="1:29" x14ac:dyDescent="0.2">
      <c r="B47" s="69">
        <v>2004</v>
      </c>
      <c r="C47" s="1334">
        <v>8.6999999999999993</v>
      </c>
      <c r="D47" s="1335"/>
    </row>
    <row r="48" spans="1:29" x14ac:dyDescent="0.2">
      <c r="B48" s="824">
        <v>2005</v>
      </c>
      <c r="C48" s="1332">
        <v>8.4</v>
      </c>
      <c r="D48" s="1333"/>
    </row>
    <row r="49" spans="2:27" x14ac:dyDescent="0.2">
      <c r="B49" s="69">
        <v>2006</v>
      </c>
      <c r="C49" s="1334">
        <v>8.5519999999999996</v>
      </c>
      <c r="D49" s="1335"/>
    </row>
    <row r="50" spans="2:27" x14ac:dyDescent="0.2">
      <c r="B50" s="824">
        <v>2007</v>
      </c>
      <c r="C50" s="1332">
        <v>8.1739999999999995</v>
      </c>
      <c r="D50" s="1333"/>
    </row>
    <row r="51" spans="2:27" x14ac:dyDescent="0.2">
      <c r="B51" s="69">
        <v>2008</v>
      </c>
      <c r="C51" s="1334">
        <v>8.0039999999999996</v>
      </c>
      <c r="D51" s="1335"/>
    </row>
    <row r="52" spans="2:27" x14ac:dyDescent="0.2">
      <c r="B52" s="824">
        <v>2009</v>
      </c>
      <c r="C52" s="1332">
        <v>7.85</v>
      </c>
      <c r="D52" s="1333"/>
    </row>
    <row r="53" spans="2:27" x14ac:dyDescent="0.2">
      <c r="B53" s="69">
        <v>2010</v>
      </c>
      <c r="C53" s="1334">
        <v>7.81</v>
      </c>
      <c r="D53" s="1335"/>
    </row>
    <row r="54" spans="2:27" x14ac:dyDescent="0.2">
      <c r="B54" s="824">
        <v>2011</v>
      </c>
      <c r="C54" s="1332">
        <v>7.5990000000000002</v>
      </c>
      <c r="D54" s="1333"/>
    </row>
    <row r="55" spans="2:27" x14ac:dyDescent="0.2">
      <c r="B55" s="69">
        <v>2012</v>
      </c>
      <c r="C55" s="1334">
        <v>7.7190000000000003</v>
      </c>
      <c r="D55" s="1335"/>
    </row>
    <row r="56" spans="2:27" x14ac:dyDescent="0.2">
      <c r="B56" s="824">
        <v>2013</v>
      </c>
      <c r="C56" s="1332">
        <v>7.468</v>
      </c>
      <c r="D56" s="1333"/>
    </row>
    <row r="57" spans="2:27" x14ac:dyDescent="0.2">
      <c r="B57" s="69">
        <v>2014</v>
      </c>
      <c r="C57" s="1334">
        <v>7.468</v>
      </c>
      <c r="D57" s="1335"/>
    </row>
    <row r="58" spans="2:27" x14ac:dyDescent="0.2">
      <c r="B58" s="824">
        <v>2015</v>
      </c>
      <c r="C58" s="1332">
        <v>7.6669999999999998</v>
      </c>
      <c r="D58" s="1333"/>
    </row>
    <row r="59" spans="2:27" x14ac:dyDescent="0.2">
      <c r="B59" s="69">
        <v>2016</v>
      </c>
      <c r="C59" s="1334">
        <v>8.0868298841374706</v>
      </c>
      <c r="D59" s="1335"/>
    </row>
    <row r="60" spans="2:27" x14ac:dyDescent="0.2">
      <c r="B60" s="824">
        <v>2017</v>
      </c>
      <c r="C60" s="1332">
        <v>8.3132160624575295</v>
      </c>
      <c r="D60" s="1333"/>
      <c r="E60" s="388"/>
    </row>
    <row r="61" spans="2:27" x14ac:dyDescent="0.2">
      <c r="B61" s="69">
        <v>2018</v>
      </c>
      <c r="C61" s="1334">
        <v>8.3628766338051097</v>
      </c>
      <c r="D61" s="1335"/>
      <c r="E61" s="388"/>
    </row>
    <row r="62" spans="2:27" x14ac:dyDescent="0.2">
      <c r="B62" s="824">
        <v>2019</v>
      </c>
      <c r="C62" s="1332">
        <v>9.8285884259999996</v>
      </c>
      <c r="D62" s="1333"/>
      <c r="E62" s="388"/>
    </row>
    <row r="63" spans="2:27" ht="13.5" thickBot="1" x14ac:dyDescent="0.25">
      <c r="B63" s="386"/>
      <c r="C63" s="534"/>
      <c r="D63" s="535"/>
    </row>
    <row r="64" spans="2:27" x14ac:dyDescent="0.2">
      <c r="R64" s="928"/>
      <c r="S64" s="928"/>
      <c r="T64" s="928"/>
      <c r="U64" s="928"/>
      <c r="V64" s="928"/>
      <c r="W64" s="928"/>
      <c r="X64" s="928"/>
      <c r="Y64" s="928"/>
      <c r="Z64" s="928"/>
      <c r="AA64" s="928"/>
    </row>
    <row r="65" spans="1:29" x14ac:dyDescent="0.2">
      <c r="A65" s="201" t="s">
        <v>69</v>
      </c>
      <c r="R65" s="928"/>
      <c r="S65" s="928"/>
      <c r="T65" s="928"/>
      <c r="U65" s="928"/>
      <c r="V65" s="928"/>
      <c r="W65" s="928"/>
      <c r="X65" s="928"/>
      <c r="Y65" s="928"/>
      <c r="Z65" s="928"/>
      <c r="AA65" s="928"/>
    </row>
    <row r="66" spans="1:29" ht="12.75" customHeight="1" thickBot="1" x14ac:dyDescent="0.25">
      <c r="R66" s="929"/>
      <c r="S66" s="930"/>
      <c r="T66" s="930"/>
      <c r="U66" s="930"/>
      <c r="V66" s="928"/>
      <c r="W66" s="928"/>
      <c r="X66" s="928"/>
      <c r="Y66" s="928"/>
      <c r="Z66" s="928"/>
      <c r="AA66" s="928"/>
    </row>
    <row r="67" spans="1:29" ht="23.25" customHeight="1" thickBot="1" x14ac:dyDescent="0.25">
      <c r="B67" s="1205" t="s">
        <v>18</v>
      </c>
      <c r="C67" s="1336" t="s">
        <v>74</v>
      </c>
      <c r="D67" s="1337"/>
      <c r="E67" s="1206" t="s">
        <v>70</v>
      </c>
      <c r="R67" s="929"/>
      <c r="S67" s="936" t="s">
        <v>18</v>
      </c>
      <c r="T67" s="936" t="s">
        <v>74</v>
      </c>
      <c r="U67" s="930"/>
      <c r="V67" s="928"/>
      <c r="W67" s="928"/>
      <c r="X67" s="928"/>
      <c r="Y67" s="928"/>
      <c r="Z67" s="928"/>
      <c r="AA67" s="928"/>
    </row>
    <row r="68" spans="1:29" s="823" customFormat="1" x14ac:dyDescent="0.2">
      <c r="B68" s="826"/>
      <c r="C68" s="1356"/>
      <c r="D68" s="1357"/>
      <c r="E68" s="840"/>
      <c r="F68" s="197"/>
      <c r="Q68" s="933"/>
      <c r="R68" s="931"/>
      <c r="S68" s="937"/>
      <c r="T68" s="937"/>
      <c r="U68" s="932"/>
      <c r="V68" s="933"/>
      <c r="W68" s="933"/>
      <c r="X68" s="933"/>
      <c r="Y68" s="933"/>
      <c r="Z68" s="933"/>
      <c r="AA68" s="933"/>
      <c r="AB68" s="933"/>
      <c r="AC68" s="933"/>
    </row>
    <row r="69" spans="1:29" x14ac:dyDescent="0.2">
      <c r="B69" s="827">
        <v>1995</v>
      </c>
      <c r="C69" s="1338">
        <v>2052.1</v>
      </c>
      <c r="D69" s="1339"/>
      <c r="E69" s="841"/>
      <c r="R69" s="929"/>
      <c r="S69" s="934">
        <v>1995</v>
      </c>
      <c r="T69" s="935">
        <v>2052.1</v>
      </c>
      <c r="U69" s="930"/>
      <c r="V69" s="928"/>
      <c r="W69" s="928"/>
      <c r="X69" s="928"/>
      <c r="Y69" s="928"/>
      <c r="Z69" s="928"/>
      <c r="AA69" s="928"/>
    </row>
    <row r="70" spans="1:29" x14ac:dyDescent="0.2">
      <c r="B70" s="828">
        <v>1996</v>
      </c>
      <c r="C70" s="1348">
        <v>2024.93</v>
      </c>
      <c r="D70" s="1349"/>
      <c r="E70" s="842">
        <f>+((C70/C69)-1)*100</f>
        <v>-1.3240095511914518</v>
      </c>
      <c r="R70" s="929"/>
      <c r="S70" s="934">
        <v>1996</v>
      </c>
      <c r="T70" s="935">
        <v>2024.93</v>
      </c>
      <c r="U70" s="930"/>
      <c r="V70" s="928"/>
      <c r="W70" s="928"/>
      <c r="X70" s="928"/>
      <c r="Y70" s="928"/>
      <c r="Z70" s="928"/>
      <c r="AA70" s="928"/>
    </row>
    <row r="71" spans="1:29" x14ac:dyDescent="0.2">
      <c r="B71" s="827" t="s">
        <v>71</v>
      </c>
      <c r="C71" s="1338">
        <v>2400.9</v>
      </c>
      <c r="D71" s="1339"/>
      <c r="E71" s="841">
        <f t="shared" ref="E71:E91" si="1">+((C71/C70)-1)*100</f>
        <v>18.567061577437237</v>
      </c>
      <c r="R71" s="929"/>
      <c r="S71" s="934" t="s">
        <v>71</v>
      </c>
      <c r="T71" s="935">
        <v>2400.9</v>
      </c>
      <c r="U71" s="930"/>
      <c r="V71" s="928"/>
      <c r="W71" s="928"/>
      <c r="X71" s="928"/>
      <c r="Y71" s="928"/>
      <c r="Z71" s="928"/>
      <c r="AA71" s="928"/>
    </row>
    <row r="72" spans="1:29" x14ac:dyDescent="0.2">
      <c r="B72" s="828">
        <v>1998</v>
      </c>
      <c r="C72" s="1348">
        <v>2520.6</v>
      </c>
      <c r="D72" s="1349"/>
      <c r="E72" s="842">
        <f t="shared" si="1"/>
        <v>4.9856303886042674</v>
      </c>
      <c r="R72" s="929"/>
      <c r="S72" s="934">
        <v>1998</v>
      </c>
      <c r="T72" s="935">
        <v>2520.6</v>
      </c>
      <c r="U72" s="930"/>
      <c r="V72" s="928"/>
      <c r="W72" s="928"/>
      <c r="X72" s="928"/>
      <c r="Y72" s="928"/>
      <c r="Z72" s="928"/>
      <c r="AA72" s="928"/>
    </row>
    <row r="73" spans="1:29" x14ac:dyDescent="0.2">
      <c r="B73" s="827">
        <v>1999</v>
      </c>
      <c r="C73" s="1338">
        <v>2580.3000000000002</v>
      </c>
      <c r="D73" s="1339"/>
      <c r="E73" s="841">
        <f t="shared" si="1"/>
        <v>2.3684836943584919</v>
      </c>
      <c r="R73" s="929"/>
      <c r="S73" s="934">
        <v>1999</v>
      </c>
      <c r="T73" s="935">
        <v>2580.3000000000002</v>
      </c>
      <c r="U73" s="930"/>
      <c r="V73" s="928"/>
      <c r="W73" s="928"/>
      <c r="X73" s="928"/>
      <c r="Y73" s="928"/>
      <c r="Z73" s="928"/>
      <c r="AA73" s="928"/>
    </row>
    <row r="74" spans="1:29" x14ac:dyDescent="0.2">
      <c r="B74" s="828">
        <v>2000</v>
      </c>
      <c r="C74" s="1348">
        <v>2620.6999999999998</v>
      </c>
      <c r="D74" s="1349"/>
      <c r="E74" s="842">
        <f t="shared" si="1"/>
        <v>1.5657094136340532</v>
      </c>
      <c r="R74" s="929"/>
      <c r="S74" s="934">
        <v>2000</v>
      </c>
      <c r="T74" s="935">
        <v>2620.6999999999998</v>
      </c>
      <c r="U74" s="930"/>
      <c r="V74" s="928"/>
      <c r="W74" s="928"/>
      <c r="X74" s="928"/>
      <c r="Y74" s="928"/>
      <c r="Z74" s="928"/>
      <c r="AA74" s="928"/>
    </row>
    <row r="75" spans="1:29" x14ac:dyDescent="0.2">
      <c r="B75" s="827">
        <v>2001</v>
      </c>
      <c r="C75" s="1338">
        <v>2792.22</v>
      </c>
      <c r="D75" s="1339"/>
      <c r="E75" s="841">
        <f t="shared" si="1"/>
        <v>6.5448162704620838</v>
      </c>
      <c r="R75" s="929"/>
      <c r="S75" s="934" t="s">
        <v>72</v>
      </c>
      <c r="T75" s="935">
        <v>2792.22</v>
      </c>
      <c r="U75" s="930"/>
      <c r="V75" s="928"/>
      <c r="W75" s="928"/>
      <c r="X75" s="928"/>
      <c r="Y75" s="928"/>
      <c r="Z75" s="928"/>
      <c r="AA75" s="928"/>
    </row>
    <row r="76" spans="1:29" x14ac:dyDescent="0.2">
      <c r="B76" s="828">
        <v>2002</v>
      </c>
      <c r="C76" s="1348">
        <v>2908.2</v>
      </c>
      <c r="D76" s="1349"/>
      <c r="E76" s="842">
        <f t="shared" si="1"/>
        <v>4.1536841652878298</v>
      </c>
      <c r="R76" s="929"/>
      <c r="S76" s="934">
        <v>2002</v>
      </c>
      <c r="T76" s="935">
        <v>2908.2</v>
      </c>
      <c r="U76" s="930"/>
      <c r="V76" s="928"/>
      <c r="W76" s="928"/>
      <c r="X76" s="928"/>
      <c r="Y76" s="928"/>
      <c r="Z76" s="928"/>
      <c r="AA76" s="928"/>
    </row>
    <row r="77" spans="1:29" x14ac:dyDescent="0.2">
      <c r="B77" s="827">
        <v>2003</v>
      </c>
      <c r="C77" s="1338">
        <v>2964.7548999999999</v>
      </c>
      <c r="D77" s="1339"/>
      <c r="E77" s="841">
        <f t="shared" si="1"/>
        <v>1.944670242761859</v>
      </c>
      <c r="R77" s="929"/>
      <c r="S77" s="934">
        <v>2003</v>
      </c>
      <c r="T77" s="935">
        <v>2964.7548999999999</v>
      </c>
      <c r="U77" s="930"/>
      <c r="V77" s="928"/>
      <c r="W77" s="928"/>
      <c r="X77" s="928"/>
      <c r="Y77" s="928"/>
      <c r="Z77" s="928"/>
      <c r="AA77" s="928"/>
    </row>
    <row r="78" spans="1:29" x14ac:dyDescent="0.2">
      <c r="B78" s="828">
        <v>2004</v>
      </c>
      <c r="C78" s="1348">
        <v>3130.8466199999993</v>
      </c>
      <c r="D78" s="1349"/>
      <c r="E78" s="842">
        <f t="shared" si="1"/>
        <v>5.6022074539787248</v>
      </c>
      <c r="R78" s="929"/>
      <c r="S78" s="934">
        <v>2004</v>
      </c>
      <c r="T78" s="935">
        <v>3130.8466199999993</v>
      </c>
      <c r="U78" s="930"/>
      <c r="V78" s="928"/>
      <c r="W78" s="928"/>
      <c r="X78" s="928"/>
      <c r="Y78" s="928"/>
      <c r="Z78" s="928"/>
      <c r="AA78" s="928"/>
    </row>
    <row r="79" spans="1:29" x14ac:dyDescent="0.2">
      <c r="B79" s="827">
        <v>2005</v>
      </c>
      <c r="C79" s="1338">
        <v>3305.0140500000002</v>
      </c>
      <c r="D79" s="1339"/>
      <c r="E79" s="841">
        <f t="shared" si="1"/>
        <v>5.5629499346090849</v>
      </c>
      <c r="R79" s="929"/>
      <c r="S79" s="934">
        <v>2005</v>
      </c>
      <c r="T79" s="935">
        <v>3305.0140500000002</v>
      </c>
      <c r="U79" s="930"/>
      <c r="V79" s="928"/>
      <c r="W79" s="928"/>
      <c r="X79" s="928"/>
      <c r="Y79" s="928"/>
      <c r="Z79" s="928"/>
      <c r="AA79" s="928"/>
    </row>
    <row r="80" spans="1:29" x14ac:dyDescent="0.2">
      <c r="B80" s="828">
        <v>2006</v>
      </c>
      <c r="C80" s="1348">
        <v>3580</v>
      </c>
      <c r="D80" s="1349"/>
      <c r="E80" s="842">
        <f t="shared" si="1"/>
        <v>8.3202656884317818</v>
      </c>
      <c r="R80" s="929"/>
      <c r="S80" s="934">
        <v>2006</v>
      </c>
      <c r="T80" s="935">
        <v>3580</v>
      </c>
      <c r="U80" s="930"/>
      <c r="V80" s="928"/>
      <c r="W80" s="928"/>
      <c r="X80" s="928"/>
      <c r="Y80" s="928"/>
      <c r="Z80" s="928"/>
      <c r="AA80" s="928"/>
    </row>
    <row r="81" spans="2:27" x14ac:dyDescent="0.2">
      <c r="B81" s="827">
        <v>2007</v>
      </c>
      <c r="C81" s="1338">
        <v>3965.6038100000005</v>
      </c>
      <c r="D81" s="1339"/>
      <c r="E81" s="841">
        <f t="shared" si="1"/>
        <v>10.7710561452514</v>
      </c>
      <c r="R81" s="929"/>
      <c r="S81" s="934">
        <v>2007</v>
      </c>
      <c r="T81" s="935">
        <v>3965.6038100000005</v>
      </c>
      <c r="U81" s="930"/>
      <c r="V81" s="928"/>
      <c r="W81" s="928"/>
      <c r="X81" s="928"/>
      <c r="Y81" s="928"/>
      <c r="Z81" s="928"/>
      <c r="AA81" s="928"/>
    </row>
    <row r="82" spans="2:27" x14ac:dyDescent="0.2">
      <c r="B82" s="828">
        <v>2008</v>
      </c>
      <c r="C82" s="1348">
        <v>4198.6589700000004</v>
      </c>
      <c r="D82" s="1349"/>
      <c r="E82" s="842">
        <f t="shared" si="1"/>
        <v>5.8769148701216301</v>
      </c>
      <c r="R82" s="929"/>
      <c r="S82" s="934">
        <v>2008</v>
      </c>
      <c r="T82" s="935">
        <v>4198.6589700000004</v>
      </c>
      <c r="U82" s="930"/>
      <c r="V82" s="928"/>
      <c r="W82" s="928"/>
      <c r="X82" s="928"/>
      <c r="Y82" s="928"/>
      <c r="Z82" s="928"/>
      <c r="AA82" s="928"/>
    </row>
    <row r="83" spans="2:27" x14ac:dyDescent="0.2">
      <c r="B83" s="827">
        <v>2009</v>
      </c>
      <c r="C83" s="1338">
        <v>4322.3748300000007</v>
      </c>
      <c r="D83" s="1339"/>
      <c r="E83" s="841">
        <f t="shared" si="1"/>
        <v>2.9465565287385198</v>
      </c>
      <c r="R83" s="928"/>
      <c r="S83" s="934">
        <v>2009</v>
      </c>
      <c r="T83" s="935">
        <v>4322.3748300000007</v>
      </c>
      <c r="U83" s="928"/>
      <c r="V83" s="928"/>
      <c r="W83" s="928"/>
      <c r="X83" s="928"/>
      <c r="Y83" s="928"/>
      <c r="Z83" s="928"/>
      <c r="AA83" s="928"/>
    </row>
    <row r="84" spans="2:27" x14ac:dyDescent="0.2">
      <c r="B84" s="828">
        <v>2010</v>
      </c>
      <c r="C84" s="1348">
        <v>4578.9431199999999</v>
      </c>
      <c r="D84" s="1349"/>
      <c r="E84" s="842">
        <f t="shared" si="1"/>
        <v>5.9358176949221075</v>
      </c>
      <c r="R84" s="928"/>
      <c r="S84" s="934">
        <v>2010</v>
      </c>
      <c r="T84" s="935">
        <v>4578.9431199999999</v>
      </c>
      <c r="U84" s="928"/>
      <c r="V84" s="928"/>
      <c r="W84" s="928"/>
      <c r="X84" s="928"/>
      <c r="Y84" s="928"/>
      <c r="Z84" s="928"/>
      <c r="AA84" s="928"/>
    </row>
    <row r="85" spans="2:27" x14ac:dyDescent="0.2">
      <c r="B85" s="827">
        <v>2011</v>
      </c>
      <c r="C85" s="1338">
        <v>4961.1929899999996</v>
      </c>
      <c r="D85" s="1339"/>
      <c r="E85" s="841">
        <f t="shared" si="1"/>
        <v>8.3479934120692878</v>
      </c>
      <c r="R85" s="928"/>
      <c r="S85" s="934">
        <v>2011</v>
      </c>
      <c r="T85" s="935">
        <v>4961.1929899999996</v>
      </c>
      <c r="U85" s="928"/>
      <c r="V85" s="928"/>
      <c r="W85" s="928"/>
      <c r="X85" s="928"/>
      <c r="Y85" s="928"/>
      <c r="Z85" s="928"/>
      <c r="AA85" s="928"/>
    </row>
    <row r="86" spans="2:27" x14ac:dyDescent="0.2">
      <c r="B86" s="828">
        <v>2012</v>
      </c>
      <c r="C86" s="1348">
        <v>5291</v>
      </c>
      <c r="D86" s="1349"/>
      <c r="E86" s="842">
        <f t="shared" si="1"/>
        <v>6.6477359511063927</v>
      </c>
      <c r="R86" s="928"/>
      <c r="S86" s="934">
        <v>2012</v>
      </c>
      <c r="T86" s="935">
        <v>5291</v>
      </c>
      <c r="U86" s="928"/>
      <c r="V86" s="928"/>
      <c r="W86" s="928"/>
      <c r="X86" s="928"/>
      <c r="Y86" s="928"/>
      <c r="Z86" s="928"/>
      <c r="AA86" s="928"/>
    </row>
    <row r="87" spans="2:27" ht="13.5" customHeight="1" x14ac:dyDescent="0.2">
      <c r="B87" s="827">
        <v>2013</v>
      </c>
      <c r="C87" s="1338">
        <v>5575.2435699999996</v>
      </c>
      <c r="D87" s="1339"/>
      <c r="E87" s="841">
        <f t="shared" si="1"/>
        <v>5.3722088452088368</v>
      </c>
      <c r="R87" s="928"/>
      <c r="S87" s="934">
        <v>2013</v>
      </c>
      <c r="T87" s="935">
        <v>5575.2435699999996</v>
      </c>
      <c r="U87" s="928"/>
      <c r="V87" s="928"/>
      <c r="W87" s="928"/>
      <c r="X87" s="928"/>
      <c r="Y87" s="928"/>
      <c r="Z87" s="928"/>
      <c r="AA87" s="928"/>
    </row>
    <row r="88" spans="2:27" ht="13.5" customHeight="1" x14ac:dyDescent="0.2">
      <c r="B88" s="828">
        <v>2014</v>
      </c>
      <c r="C88" s="1348">
        <v>5737.27</v>
      </c>
      <c r="D88" s="1349"/>
      <c r="E88" s="842">
        <f t="shared" si="1"/>
        <v>2.9061767071819844</v>
      </c>
      <c r="R88" s="928"/>
      <c r="S88" s="934">
        <v>2014</v>
      </c>
      <c r="T88" s="935">
        <v>5737.27</v>
      </c>
      <c r="U88" s="928"/>
      <c r="V88" s="928"/>
      <c r="W88" s="928"/>
      <c r="X88" s="928"/>
      <c r="Y88" s="928"/>
      <c r="Z88" s="928"/>
      <c r="AA88" s="928"/>
    </row>
    <row r="89" spans="2:27" x14ac:dyDescent="0.2">
      <c r="B89" s="827">
        <v>2015</v>
      </c>
      <c r="C89" s="1338">
        <v>6275</v>
      </c>
      <c r="D89" s="1339"/>
      <c r="E89" s="841">
        <f t="shared" si="1"/>
        <v>9.3725761555582885</v>
      </c>
      <c r="R89" s="928"/>
      <c r="S89" s="934">
        <v>2015</v>
      </c>
      <c r="T89" s="935">
        <v>6275</v>
      </c>
      <c r="U89" s="928"/>
      <c r="V89" s="928"/>
      <c r="W89" s="928"/>
      <c r="X89" s="928"/>
      <c r="Y89" s="928"/>
      <c r="Z89" s="928"/>
      <c r="AA89" s="928"/>
    </row>
    <row r="90" spans="2:27" x14ac:dyDescent="0.2">
      <c r="B90" s="828">
        <v>2016</v>
      </c>
      <c r="C90" s="1348">
        <v>6492.4099800000004</v>
      </c>
      <c r="D90" s="1349"/>
      <c r="E90" s="842">
        <f t="shared" si="1"/>
        <v>3.4647008764940201</v>
      </c>
      <c r="R90" s="928"/>
      <c r="S90" s="934">
        <v>2016</v>
      </c>
      <c r="T90" s="935">
        <v>6492.4099800000004</v>
      </c>
      <c r="U90" s="928"/>
      <c r="V90" s="928"/>
      <c r="W90" s="928"/>
      <c r="X90" s="928"/>
      <c r="Y90" s="928"/>
      <c r="Z90" s="928"/>
      <c r="AA90" s="928"/>
    </row>
    <row r="91" spans="2:27" x14ac:dyDescent="0.2">
      <c r="B91" s="827">
        <v>2017</v>
      </c>
      <c r="C91" s="1338">
        <v>6559.0633399999997</v>
      </c>
      <c r="D91" s="1339"/>
      <c r="E91" s="841">
        <f t="shared" si="1"/>
        <v>1.0266351047658162</v>
      </c>
      <c r="R91" s="928"/>
      <c r="S91" s="934">
        <v>2017</v>
      </c>
      <c r="T91" s="935">
        <v>6559.0633399999997</v>
      </c>
      <c r="U91" s="928"/>
      <c r="V91" s="928"/>
      <c r="W91" s="928"/>
      <c r="X91" s="928"/>
      <c r="Y91" s="928"/>
      <c r="Z91" s="928"/>
      <c r="AA91" s="928"/>
    </row>
    <row r="92" spans="2:27" x14ac:dyDescent="0.2">
      <c r="B92" s="828">
        <v>2018</v>
      </c>
      <c r="C92" s="1348">
        <v>6884.5910000000003</v>
      </c>
      <c r="D92" s="1349"/>
      <c r="E92" s="842">
        <f>+((C92/C91)-1)*100</f>
        <v>4.9630205278670347</v>
      </c>
      <c r="R92" s="928"/>
      <c r="S92" s="934">
        <v>2018</v>
      </c>
      <c r="T92" s="935">
        <v>6884.5910000000003</v>
      </c>
      <c r="U92" s="928"/>
      <c r="V92" s="928"/>
      <c r="W92" s="928"/>
      <c r="X92" s="928"/>
      <c r="Y92" s="928"/>
      <c r="Z92" s="928"/>
      <c r="AA92" s="928"/>
    </row>
    <row r="93" spans="2:27" x14ac:dyDescent="0.2">
      <c r="B93" s="827">
        <v>2019</v>
      </c>
      <c r="C93" s="1338">
        <v>7017.5709999999999</v>
      </c>
      <c r="D93" s="1339"/>
      <c r="E93" s="841">
        <f>+((C93/C92)-1)*100</f>
        <v>1.9315599140166784</v>
      </c>
      <c r="R93" s="928"/>
      <c r="S93" s="934">
        <v>2019</v>
      </c>
      <c r="T93" s="935">
        <v>7017.5709999999999</v>
      </c>
      <c r="U93" s="928"/>
      <c r="V93" s="928"/>
      <c r="W93" s="928"/>
      <c r="X93" s="928"/>
      <c r="Y93" s="928"/>
      <c r="Z93" s="928"/>
      <c r="AA93" s="928"/>
    </row>
    <row r="94" spans="2:27" ht="13.5" thickBot="1" x14ac:dyDescent="0.25">
      <c r="B94" s="829"/>
      <c r="C94" s="1358"/>
      <c r="D94" s="1359"/>
      <c r="E94" s="843"/>
      <c r="R94" s="928"/>
      <c r="S94" s="934"/>
      <c r="T94" s="935"/>
      <c r="U94" s="928"/>
      <c r="V94" s="928"/>
      <c r="W94" s="928"/>
      <c r="X94" s="928"/>
      <c r="Y94" s="928"/>
      <c r="Z94" s="928"/>
      <c r="AA94" s="928"/>
    </row>
    <row r="95" spans="2:27" x14ac:dyDescent="0.2">
      <c r="B95" s="825" t="s">
        <v>356</v>
      </c>
      <c r="C95" s="1350">
        <f>(C93/C92)-1</f>
        <v>1.9315599140166784E-2</v>
      </c>
      <c r="D95" s="1351"/>
      <c r="E95" s="199"/>
      <c r="R95" s="929"/>
      <c r="S95" s="930"/>
      <c r="T95" s="930"/>
      <c r="U95" s="930"/>
      <c r="V95" s="928"/>
      <c r="W95" s="928"/>
      <c r="X95" s="928"/>
      <c r="Y95" s="928"/>
      <c r="Z95" s="928"/>
      <c r="AA95" s="928"/>
    </row>
    <row r="96" spans="2:27" x14ac:dyDescent="0.2">
      <c r="B96" s="820" t="s">
        <v>357</v>
      </c>
      <c r="C96" s="1352">
        <f>((C93/C88)^(1/5))-1</f>
        <v>4.1109250596872426E-2</v>
      </c>
      <c r="D96" s="1353"/>
      <c r="E96" s="199"/>
      <c r="F96" s="199"/>
      <c r="R96" s="929"/>
      <c r="S96" s="930"/>
      <c r="T96" s="930"/>
      <c r="U96" s="930"/>
      <c r="V96" s="928"/>
      <c r="W96" s="928"/>
      <c r="X96" s="928"/>
      <c r="Y96" s="928"/>
      <c r="Z96" s="928"/>
      <c r="AA96" s="928"/>
    </row>
    <row r="97" spans="2:27" x14ac:dyDescent="0.2">
      <c r="B97" s="821" t="s">
        <v>358</v>
      </c>
      <c r="C97" s="1346">
        <f>(C93/C83)-1</f>
        <v>0.6235452213199193</v>
      </c>
      <c r="D97" s="1347"/>
      <c r="E97" s="199"/>
      <c r="F97" s="199"/>
      <c r="R97" s="928"/>
      <c r="S97" s="928"/>
      <c r="T97" s="928"/>
      <c r="U97" s="928"/>
      <c r="V97" s="928"/>
      <c r="W97" s="928"/>
      <c r="X97" s="928"/>
      <c r="Y97" s="928"/>
      <c r="Z97" s="928"/>
      <c r="AA97" s="928"/>
    </row>
    <row r="98" spans="2:27" ht="13.5" thickBot="1" x14ac:dyDescent="0.25">
      <c r="B98" s="822" t="s">
        <v>359</v>
      </c>
      <c r="C98" s="1354">
        <f>((C93/C83)^(1/10))-1</f>
        <v>4.9654661895113028E-2</v>
      </c>
      <c r="D98" s="1355"/>
      <c r="E98" s="200"/>
      <c r="F98" s="200"/>
      <c r="R98" s="928"/>
      <c r="S98" s="928"/>
      <c r="T98" s="928"/>
      <c r="U98" s="928"/>
      <c r="V98" s="928"/>
      <c r="W98" s="928"/>
      <c r="X98" s="928"/>
      <c r="Y98" s="928"/>
      <c r="Z98" s="928"/>
      <c r="AA98" s="928"/>
    </row>
    <row r="99" spans="2:27" x14ac:dyDescent="0.2">
      <c r="D99" s="387"/>
      <c r="R99" s="928"/>
      <c r="S99" s="928"/>
      <c r="T99" s="928"/>
      <c r="U99" s="928"/>
      <c r="V99" s="928"/>
      <c r="W99" s="928"/>
      <c r="X99" s="928"/>
      <c r="Y99" s="928"/>
      <c r="Z99" s="928"/>
      <c r="AA99" s="928"/>
    </row>
    <row r="100" spans="2:27" ht="14.25" x14ac:dyDescent="0.2">
      <c r="B100" s="202" t="s">
        <v>73</v>
      </c>
      <c r="R100" s="928"/>
      <c r="S100" s="928"/>
      <c r="T100" s="928"/>
      <c r="U100" s="928"/>
      <c r="V100" s="928"/>
      <c r="W100" s="928"/>
      <c r="X100" s="928"/>
      <c r="Y100" s="928"/>
      <c r="Z100" s="928"/>
      <c r="AA100" s="928"/>
    </row>
    <row r="101" spans="2:27" ht="14.25" x14ac:dyDescent="0.2">
      <c r="B101" s="202" t="s">
        <v>353</v>
      </c>
    </row>
    <row r="103" spans="2:27" x14ac:dyDescent="0.2">
      <c r="B103" s="199"/>
    </row>
  </sheetData>
  <mergeCells count="60">
    <mergeCell ref="C98:D98"/>
    <mergeCell ref="C68:D68"/>
    <mergeCell ref="C94:D94"/>
    <mergeCell ref="C76:D76"/>
    <mergeCell ref="C91:D91"/>
    <mergeCell ref="C89:D89"/>
    <mergeCell ref="C86:D86"/>
    <mergeCell ref="C85:D85"/>
    <mergeCell ref="C77:D77"/>
    <mergeCell ref="C78:D78"/>
    <mergeCell ref="C79:D79"/>
    <mergeCell ref="C80:D80"/>
    <mergeCell ref="C81:D81"/>
    <mergeCell ref="C69:D69"/>
    <mergeCell ref="C70:D70"/>
    <mergeCell ref="C73:D73"/>
    <mergeCell ref="C97:D97"/>
    <mergeCell ref="C71:D71"/>
    <mergeCell ref="C72:D72"/>
    <mergeCell ref="C88:D88"/>
    <mergeCell ref="C82:D82"/>
    <mergeCell ref="C83:D83"/>
    <mergeCell ref="C84:D84"/>
    <mergeCell ref="C92:D92"/>
    <mergeCell ref="C74:D74"/>
    <mergeCell ref="C75:D75"/>
    <mergeCell ref="C90:D90"/>
    <mergeCell ref="C95:D95"/>
    <mergeCell ref="C96:D96"/>
    <mergeCell ref="C93:D93"/>
    <mergeCell ref="C41:D41"/>
    <mergeCell ref="C42:D42"/>
    <mergeCell ref="C87:D87"/>
    <mergeCell ref="B4:B5"/>
    <mergeCell ref="C4:F4"/>
    <mergeCell ref="C36:D36"/>
    <mergeCell ref="C38:D38"/>
    <mergeCell ref="C39:D39"/>
    <mergeCell ref="C40:D40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67:D67"/>
    <mergeCell ref="C54:D54"/>
    <mergeCell ref="C56:D56"/>
    <mergeCell ref="C57:D57"/>
    <mergeCell ref="C55:D55"/>
    <mergeCell ref="C58:D58"/>
    <mergeCell ref="C60:D60"/>
    <mergeCell ref="C59:D59"/>
    <mergeCell ref="C61:D61"/>
    <mergeCell ref="C62:D62"/>
  </mergeCells>
  <pageMargins left="0.83" right="0.36" top="1.01" bottom="0.39" header="0" footer="0"/>
  <pageSetup paperSize="9" scale="4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1"/>
  <sheetViews>
    <sheetView showGridLines="0" view="pageBreakPreview" zoomScale="80" zoomScaleNormal="80" zoomScaleSheetLayoutView="80" workbookViewId="0">
      <selection activeCell="M40" sqref="M40:O41"/>
    </sheetView>
  </sheetViews>
  <sheetFormatPr baseColWidth="10" defaultColWidth="11.42578125" defaultRowHeight="12.75" x14ac:dyDescent="0.2"/>
  <cols>
    <col min="1" max="1" width="4.42578125" style="73" customWidth="1"/>
    <col min="2" max="2" width="21" style="73" customWidth="1"/>
    <col min="3" max="3" width="13.42578125" style="73" customWidth="1"/>
    <col min="4" max="4" width="7.7109375" style="73" bestFit="1" customWidth="1"/>
    <col min="5" max="5" width="14.42578125" style="73" bestFit="1" customWidth="1"/>
    <col min="6" max="6" width="14.5703125" style="73" bestFit="1" customWidth="1"/>
    <col min="7" max="7" width="15.140625" style="73" bestFit="1" customWidth="1"/>
    <col min="8" max="8" width="7" style="73" bestFit="1" customWidth="1"/>
    <col min="9" max="9" width="14.42578125" style="73" bestFit="1" customWidth="1"/>
    <col min="10" max="10" width="14.5703125" style="73" bestFit="1" customWidth="1"/>
    <col min="11" max="11" width="15.140625" style="73" bestFit="1" customWidth="1"/>
    <col min="12" max="12" width="7.7109375" style="73" bestFit="1" customWidth="1"/>
    <col min="13" max="13" width="14.42578125" style="73" bestFit="1" customWidth="1"/>
    <col min="14" max="14" width="14.5703125" style="73" bestFit="1" customWidth="1"/>
    <col min="15" max="15" width="15.140625" style="73" bestFit="1" customWidth="1"/>
    <col min="16" max="16" width="14.85546875" style="73" bestFit="1" customWidth="1"/>
    <col min="17" max="17" width="14.5703125" style="73" customWidth="1"/>
    <col min="18" max="18" width="11.42578125" style="210"/>
    <col min="19" max="19" width="12.7109375" style="210" customWidth="1"/>
    <col min="20" max="31" width="11.42578125" style="210"/>
    <col min="32" max="16384" width="11.42578125" style="73"/>
  </cols>
  <sheetData>
    <row r="1" spans="1:31" ht="18" x14ac:dyDescent="0.25">
      <c r="A1" s="206" t="s">
        <v>344</v>
      </c>
    </row>
    <row r="3" spans="1:31" ht="18" x14ac:dyDescent="0.25">
      <c r="A3" s="855" t="s">
        <v>256</v>
      </c>
      <c r="D3" s="206"/>
      <c r="E3" s="208"/>
      <c r="F3" s="208"/>
      <c r="G3" s="208"/>
      <c r="H3" s="208"/>
      <c r="I3" s="208"/>
      <c r="J3" s="208"/>
      <c r="K3" s="209"/>
      <c r="L3" s="209"/>
      <c r="M3" s="209"/>
      <c r="N3" s="209"/>
      <c r="O3" s="209"/>
      <c r="Q3" s="250"/>
      <c r="X3" s="251"/>
      <c r="Y3" s="251"/>
      <c r="Z3" s="251"/>
      <c r="AA3" s="251"/>
      <c r="AB3" s="251"/>
    </row>
    <row r="4" spans="1:31" ht="13.5" thickBot="1" x14ac:dyDescent="0.25">
      <c r="Q4" s="251"/>
      <c r="X4" s="251"/>
      <c r="Y4" s="251"/>
      <c r="Z4" s="251"/>
      <c r="AA4" s="251"/>
      <c r="AB4" s="251"/>
    </row>
    <row r="5" spans="1:31" s="851" customFormat="1" ht="16.5" customHeight="1" x14ac:dyDescent="0.2">
      <c r="B5" s="1360" t="s">
        <v>18</v>
      </c>
      <c r="C5" s="1371" t="s">
        <v>343</v>
      </c>
      <c r="D5" s="1362" t="s">
        <v>226</v>
      </c>
      <c r="E5" s="1363"/>
      <c r="F5" s="1363"/>
      <c r="G5" s="1364"/>
      <c r="H5" s="1365" t="s">
        <v>227</v>
      </c>
      <c r="I5" s="1366"/>
      <c r="J5" s="1366"/>
      <c r="K5" s="1367"/>
      <c r="L5" s="1368" t="s">
        <v>228</v>
      </c>
      <c r="M5" s="1363"/>
      <c r="N5" s="1363"/>
      <c r="O5" s="1363"/>
      <c r="P5" s="1373" t="s">
        <v>229</v>
      </c>
      <c r="Q5" s="852"/>
      <c r="R5" s="854"/>
      <c r="S5" s="854"/>
      <c r="T5" s="854"/>
      <c r="U5" s="854"/>
      <c r="V5" s="854"/>
      <c r="W5" s="854"/>
      <c r="X5" s="853"/>
      <c r="Y5" s="853"/>
      <c r="Z5" s="853"/>
      <c r="AA5" s="853"/>
      <c r="AB5" s="853"/>
      <c r="AC5" s="854"/>
      <c r="AD5" s="854"/>
      <c r="AE5" s="854"/>
    </row>
    <row r="6" spans="1:31" s="851" customFormat="1" ht="16.5" customHeight="1" x14ac:dyDescent="0.2">
      <c r="B6" s="1361"/>
      <c r="C6" s="1372"/>
      <c r="D6" s="1207" t="s">
        <v>0</v>
      </c>
      <c r="E6" s="1208" t="s">
        <v>11</v>
      </c>
      <c r="F6" s="1208" t="s">
        <v>66</v>
      </c>
      <c r="G6" s="1209" t="s">
        <v>10</v>
      </c>
      <c r="H6" s="1210" t="s">
        <v>0</v>
      </c>
      <c r="I6" s="1211" t="s">
        <v>11</v>
      </c>
      <c r="J6" s="1211" t="s">
        <v>66</v>
      </c>
      <c r="K6" s="1212" t="s">
        <v>10</v>
      </c>
      <c r="L6" s="1210" t="s">
        <v>0</v>
      </c>
      <c r="M6" s="1211" t="s">
        <v>11</v>
      </c>
      <c r="N6" s="1211" t="s">
        <v>66</v>
      </c>
      <c r="O6" s="1211" t="s">
        <v>10</v>
      </c>
      <c r="P6" s="1374"/>
      <c r="Q6" s="252"/>
      <c r="R6" s="854"/>
      <c r="S6" s="854"/>
      <c r="T6" s="854"/>
      <c r="U6" s="854"/>
      <c r="V6" s="854"/>
      <c r="W6" s="854"/>
      <c r="X6" s="853"/>
      <c r="Y6" s="853"/>
      <c r="Z6" s="853"/>
      <c r="AA6" s="853"/>
      <c r="AB6" s="853"/>
      <c r="AC6" s="854"/>
      <c r="AD6" s="854"/>
      <c r="AE6" s="854"/>
    </row>
    <row r="7" spans="1:31" x14ac:dyDescent="0.2">
      <c r="B7" s="212"/>
      <c r="C7" s="213"/>
      <c r="D7" s="214"/>
      <c r="E7" s="215"/>
      <c r="F7" s="215"/>
      <c r="G7" s="946"/>
      <c r="H7" s="216"/>
      <c r="I7" s="215"/>
      <c r="J7" s="215"/>
      <c r="K7" s="946"/>
      <c r="L7" s="216"/>
      <c r="M7" s="215"/>
      <c r="N7" s="215"/>
      <c r="O7" s="215"/>
      <c r="P7" s="217"/>
      <c r="Q7" s="252"/>
      <c r="S7" s="856" t="s">
        <v>0</v>
      </c>
      <c r="T7" s="210" t="s">
        <v>230</v>
      </c>
      <c r="U7" s="210" t="s">
        <v>173</v>
      </c>
      <c r="X7" s="251"/>
      <c r="Y7" s="251"/>
      <c r="Z7" s="251"/>
      <c r="AA7" s="251"/>
      <c r="AB7" s="251"/>
    </row>
    <row r="8" spans="1:31" x14ac:dyDescent="0.2">
      <c r="B8" s="218">
        <v>1995</v>
      </c>
      <c r="C8" s="219">
        <f>+D8+P8</f>
        <v>295.166629</v>
      </c>
      <c r="D8" s="220">
        <f>E8+F8+G8</f>
        <v>220.87862900000002</v>
      </c>
      <c r="E8" s="221">
        <f t="shared" ref="E8:G23" si="0">+I8+M8</f>
        <v>46.066738999999991</v>
      </c>
      <c r="F8" s="221">
        <f t="shared" si="0"/>
        <v>11.412649999999999</v>
      </c>
      <c r="G8" s="947">
        <f t="shared" si="0"/>
        <v>163.39924000000002</v>
      </c>
      <c r="H8" s="222">
        <f>+I8+J8+K8</f>
        <v>154.712999</v>
      </c>
      <c r="I8" s="221">
        <v>38.418108999999994</v>
      </c>
      <c r="J8" s="221">
        <v>11.412649999999999</v>
      </c>
      <c r="K8" s="947">
        <v>104.88224000000001</v>
      </c>
      <c r="L8" s="222">
        <f>+M8+N8+O8</f>
        <v>66.165630000000007</v>
      </c>
      <c r="M8" s="221">
        <v>7.6486299999999998</v>
      </c>
      <c r="N8" s="221"/>
      <c r="O8" s="221">
        <v>58.517000000000003</v>
      </c>
      <c r="P8" s="223">
        <v>74.287999999999997</v>
      </c>
      <c r="Q8" s="253"/>
      <c r="S8" s="856"/>
      <c r="V8" s="584"/>
      <c r="X8" s="251"/>
      <c r="Y8" s="251"/>
      <c r="Z8" s="251"/>
      <c r="AA8" s="251"/>
      <c r="AB8" s="251"/>
    </row>
    <row r="9" spans="1:31" x14ac:dyDescent="0.2">
      <c r="B9" s="224">
        <v>1996</v>
      </c>
      <c r="C9" s="225">
        <f>+D9+P9</f>
        <v>508.84737699999999</v>
      </c>
      <c r="D9" s="226">
        <f>+E9+F9+G9</f>
        <v>372.89737700000001</v>
      </c>
      <c r="E9" s="227">
        <f t="shared" si="0"/>
        <v>163.01889699999998</v>
      </c>
      <c r="F9" s="227">
        <f t="shared" si="0"/>
        <v>16.600999999999999</v>
      </c>
      <c r="G9" s="948">
        <f t="shared" si="0"/>
        <v>193.27748000000003</v>
      </c>
      <c r="H9" s="228">
        <f>+I9+J9+K9</f>
        <v>176.97620699999999</v>
      </c>
      <c r="I9" s="227">
        <v>65.267436999999987</v>
      </c>
      <c r="J9" s="227">
        <v>16.600999999999999</v>
      </c>
      <c r="K9" s="948">
        <v>95.107770000000002</v>
      </c>
      <c r="L9" s="228">
        <f>+M9+N9+O9</f>
        <v>195.92117000000002</v>
      </c>
      <c r="M9" s="227">
        <v>97.751460000000009</v>
      </c>
      <c r="N9" s="227"/>
      <c r="O9" s="227">
        <v>98.169710000000009</v>
      </c>
      <c r="P9" s="217">
        <v>135.94999999999999</v>
      </c>
      <c r="Q9" s="253"/>
      <c r="R9" s="210">
        <v>1995</v>
      </c>
      <c r="S9" s="857">
        <f>+T9+U9</f>
        <v>220.87862899999999</v>
      </c>
      <c r="T9" s="584">
        <f t="shared" ref="T9:T30" si="1">+H8</f>
        <v>154.712999</v>
      </c>
      <c r="U9" s="584">
        <f t="shared" ref="U9:U30" si="2">+L8</f>
        <v>66.165630000000007</v>
      </c>
      <c r="V9" s="584"/>
      <c r="X9" s="251"/>
      <c r="Y9" s="251"/>
      <c r="Z9" s="251"/>
      <c r="AA9" s="251"/>
      <c r="AB9" s="251"/>
    </row>
    <row r="10" spans="1:31" x14ac:dyDescent="0.2">
      <c r="B10" s="218">
        <v>1997</v>
      </c>
      <c r="C10" s="219">
        <f t="shared" ref="C10:C17" si="3">+D10+P10</f>
        <v>594.18388100000004</v>
      </c>
      <c r="D10" s="220">
        <f t="shared" ref="D10:D24" si="4">+E10+F10+G10</f>
        <v>547.62588100000005</v>
      </c>
      <c r="E10" s="221">
        <f t="shared" si="0"/>
        <v>343.44413100000003</v>
      </c>
      <c r="F10" s="221">
        <f t="shared" si="0"/>
        <v>32.720779999999998</v>
      </c>
      <c r="G10" s="947">
        <f t="shared" si="0"/>
        <v>171.46097</v>
      </c>
      <c r="H10" s="222">
        <f t="shared" ref="H10:H24" si="5">+I10+J10+K10</f>
        <v>207.88996599999999</v>
      </c>
      <c r="I10" s="221">
        <v>103.23717600000001</v>
      </c>
      <c r="J10" s="221">
        <v>32.720779999999998</v>
      </c>
      <c r="K10" s="947">
        <v>71.932009999999991</v>
      </c>
      <c r="L10" s="222">
        <f t="shared" ref="L10:L24" si="6">+M10+N10+O10</f>
        <v>339.73591500000003</v>
      </c>
      <c r="M10" s="221">
        <v>240.20695500000002</v>
      </c>
      <c r="N10" s="221"/>
      <c r="O10" s="221">
        <v>99.528960000000012</v>
      </c>
      <c r="P10" s="223">
        <v>46.558</v>
      </c>
      <c r="Q10" s="254"/>
      <c r="R10" s="210">
        <v>1996</v>
      </c>
      <c r="S10" s="857">
        <f t="shared" ref="S10:S29" si="7">+T10+U10</f>
        <v>372.89737700000001</v>
      </c>
      <c r="T10" s="584">
        <f t="shared" si="1"/>
        <v>176.97620699999999</v>
      </c>
      <c r="U10" s="584">
        <f t="shared" si="2"/>
        <v>195.92117000000002</v>
      </c>
      <c r="V10" s="584"/>
      <c r="X10" s="251"/>
      <c r="Y10" s="251"/>
      <c r="Z10" s="251"/>
      <c r="AA10" s="251"/>
      <c r="AB10" s="251"/>
    </row>
    <row r="11" spans="1:31" x14ac:dyDescent="0.2">
      <c r="B11" s="224">
        <v>1998</v>
      </c>
      <c r="C11" s="225">
        <f t="shared" si="3"/>
        <v>612.99943099999996</v>
      </c>
      <c r="D11" s="226">
        <f t="shared" si="4"/>
        <v>561.51143100000002</v>
      </c>
      <c r="E11" s="227">
        <f t="shared" si="0"/>
        <v>365.36324100000002</v>
      </c>
      <c r="F11" s="227">
        <f t="shared" si="0"/>
        <v>59.643269999999994</v>
      </c>
      <c r="G11" s="948">
        <f t="shared" si="0"/>
        <v>136.50492</v>
      </c>
      <c r="H11" s="228">
        <f t="shared" si="5"/>
        <v>202.79134299999998</v>
      </c>
      <c r="I11" s="227">
        <v>114.539113</v>
      </c>
      <c r="J11" s="227">
        <v>46.155269999999994</v>
      </c>
      <c r="K11" s="948">
        <v>42.096959999999996</v>
      </c>
      <c r="L11" s="228">
        <f t="shared" si="6"/>
        <v>358.72008800000003</v>
      </c>
      <c r="M11" s="227">
        <v>250.824128</v>
      </c>
      <c r="N11" s="227">
        <v>13.488</v>
      </c>
      <c r="O11" s="227">
        <v>94.407960000000003</v>
      </c>
      <c r="P11" s="217">
        <v>51.488</v>
      </c>
      <c r="Q11" s="254"/>
      <c r="R11" s="210">
        <v>1997</v>
      </c>
      <c r="S11" s="857">
        <f t="shared" si="7"/>
        <v>547.62588100000005</v>
      </c>
      <c r="T11" s="584">
        <f t="shared" si="1"/>
        <v>207.88996599999999</v>
      </c>
      <c r="U11" s="584">
        <f t="shared" si="2"/>
        <v>339.73591500000003</v>
      </c>
      <c r="V11" s="584"/>
      <c r="X11" s="251"/>
      <c r="Y11" s="251"/>
      <c r="Z11" s="251"/>
      <c r="AA11" s="251"/>
      <c r="AB11" s="251"/>
    </row>
    <row r="12" spans="1:31" x14ac:dyDescent="0.2">
      <c r="B12" s="218">
        <v>1999</v>
      </c>
      <c r="C12" s="219">
        <f t="shared" si="3"/>
        <v>764.17922801183431</v>
      </c>
      <c r="D12" s="220">
        <f t="shared" si="4"/>
        <v>709.53922801183433</v>
      </c>
      <c r="E12" s="221">
        <f t="shared" si="0"/>
        <v>417.232328</v>
      </c>
      <c r="F12" s="221">
        <f t="shared" si="0"/>
        <v>170.80662000000001</v>
      </c>
      <c r="G12" s="947">
        <f t="shared" si="0"/>
        <v>121.50028001183432</v>
      </c>
      <c r="H12" s="222">
        <f t="shared" si="5"/>
        <v>201.72455901183432</v>
      </c>
      <c r="I12" s="221">
        <v>136.331909</v>
      </c>
      <c r="J12" s="221">
        <v>31.317900000000002</v>
      </c>
      <c r="K12" s="947">
        <v>34.074750011834318</v>
      </c>
      <c r="L12" s="222">
        <f t="shared" si="6"/>
        <v>507.81466899999998</v>
      </c>
      <c r="M12" s="221">
        <v>280.900419</v>
      </c>
      <c r="N12" s="221">
        <v>139.48872</v>
      </c>
      <c r="O12" s="221">
        <v>87.425529999999995</v>
      </c>
      <c r="P12" s="223">
        <v>54.64</v>
      </c>
      <c r="Q12" s="254"/>
      <c r="R12" s="210">
        <v>1998</v>
      </c>
      <c r="S12" s="857">
        <f t="shared" si="7"/>
        <v>561.51143100000002</v>
      </c>
      <c r="T12" s="584">
        <f t="shared" si="1"/>
        <v>202.79134299999998</v>
      </c>
      <c r="U12" s="584">
        <f t="shared" si="2"/>
        <v>358.72008800000003</v>
      </c>
      <c r="V12" s="584"/>
      <c r="X12" s="251"/>
      <c r="Y12" s="251"/>
      <c r="Z12" s="251"/>
      <c r="AA12" s="251"/>
      <c r="AB12" s="251"/>
    </row>
    <row r="13" spans="1:31" x14ac:dyDescent="0.2">
      <c r="B13" s="224">
        <v>2000</v>
      </c>
      <c r="C13" s="225">
        <f t="shared" si="3"/>
        <v>659.21399999999994</v>
      </c>
      <c r="D13" s="226">
        <f t="shared" si="4"/>
        <v>605.803</v>
      </c>
      <c r="E13" s="227">
        <f t="shared" si="0"/>
        <v>337.65800000000002</v>
      </c>
      <c r="F13" s="227">
        <f t="shared" si="0"/>
        <v>128.93899999999999</v>
      </c>
      <c r="G13" s="948">
        <f t="shared" si="0"/>
        <v>139.20599999999999</v>
      </c>
      <c r="H13" s="228">
        <f t="shared" si="5"/>
        <v>165.994</v>
      </c>
      <c r="I13" s="227">
        <v>123.21599999999999</v>
      </c>
      <c r="J13" s="227">
        <v>26.69</v>
      </c>
      <c r="K13" s="948">
        <v>16.088000000000001</v>
      </c>
      <c r="L13" s="228">
        <f t="shared" si="6"/>
        <v>439.80900000000003</v>
      </c>
      <c r="M13" s="227">
        <v>214.44200000000001</v>
      </c>
      <c r="N13" s="229">
        <v>102.249</v>
      </c>
      <c r="O13" s="227">
        <v>123.11799999999999</v>
      </c>
      <c r="P13" s="217">
        <v>53.411000000000001</v>
      </c>
      <c r="Q13" s="254"/>
      <c r="R13" s="210">
        <v>1999</v>
      </c>
      <c r="S13" s="857">
        <f t="shared" si="7"/>
        <v>709.53922801183433</v>
      </c>
      <c r="T13" s="584">
        <f t="shared" si="1"/>
        <v>201.72455901183432</v>
      </c>
      <c r="U13" s="584">
        <f t="shared" si="2"/>
        <v>507.81466899999998</v>
      </c>
      <c r="V13" s="584"/>
      <c r="X13" s="251"/>
      <c r="Y13" s="251"/>
      <c r="Z13" s="251"/>
      <c r="AA13" s="251"/>
      <c r="AB13" s="251"/>
    </row>
    <row r="14" spans="1:31" x14ac:dyDescent="0.2">
      <c r="B14" s="230" t="s">
        <v>231</v>
      </c>
      <c r="C14" s="219">
        <f t="shared" si="3"/>
        <v>351.06397000000004</v>
      </c>
      <c r="D14" s="220">
        <f t="shared" si="4"/>
        <v>305.89697000000001</v>
      </c>
      <c r="E14" s="221">
        <f t="shared" si="0"/>
        <v>109.77217999999999</v>
      </c>
      <c r="F14" s="221">
        <f t="shared" si="0"/>
        <v>61.743000000000002</v>
      </c>
      <c r="G14" s="947">
        <f t="shared" si="0"/>
        <v>134.38179</v>
      </c>
      <c r="H14" s="222">
        <f t="shared" si="5"/>
        <v>95.058679999999995</v>
      </c>
      <c r="I14" s="221">
        <v>76.277079999999998</v>
      </c>
      <c r="J14" s="221">
        <v>3.1160000000000001</v>
      </c>
      <c r="K14" s="947">
        <v>15.6656</v>
      </c>
      <c r="L14" s="222">
        <f t="shared" si="6"/>
        <v>210.83829</v>
      </c>
      <c r="M14" s="221">
        <v>33.495100000000001</v>
      </c>
      <c r="N14" s="231">
        <v>58.627000000000002</v>
      </c>
      <c r="O14" s="221">
        <v>118.71619</v>
      </c>
      <c r="P14" s="223">
        <v>45.167000000000002</v>
      </c>
      <c r="Q14" s="254"/>
      <c r="R14" s="210">
        <v>2000</v>
      </c>
      <c r="S14" s="857">
        <f t="shared" si="7"/>
        <v>605.803</v>
      </c>
      <c r="T14" s="584">
        <f t="shared" si="1"/>
        <v>165.994</v>
      </c>
      <c r="U14" s="584">
        <f t="shared" si="2"/>
        <v>439.80900000000003</v>
      </c>
      <c r="V14" s="584"/>
      <c r="X14" s="251"/>
      <c r="Y14" s="251"/>
      <c r="Z14" s="251"/>
      <c r="AA14" s="251"/>
      <c r="AB14" s="251"/>
    </row>
    <row r="15" spans="1:31" x14ac:dyDescent="0.2">
      <c r="B15" s="224">
        <v>2002</v>
      </c>
      <c r="C15" s="225">
        <f t="shared" si="3"/>
        <v>259.529</v>
      </c>
      <c r="D15" s="226">
        <f t="shared" si="4"/>
        <v>242.19900000000001</v>
      </c>
      <c r="E15" s="227">
        <f t="shared" si="0"/>
        <v>107.84</v>
      </c>
      <c r="F15" s="227">
        <f t="shared" si="0"/>
        <v>37.657000000000004</v>
      </c>
      <c r="G15" s="948">
        <f t="shared" si="0"/>
        <v>96.701999999999998</v>
      </c>
      <c r="H15" s="228">
        <f t="shared" si="5"/>
        <v>109.85599999999999</v>
      </c>
      <c r="I15" s="227">
        <v>77.798000000000002</v>
      </c>
      <c r="J15" s="227">
        <v>0.377</v>
      </c>
      <c r="K15" s="948">
        <v>31.681000000000001</v>
      </c>
      <c r="L15" s="228">
        <f t="shared" si="6"/>
        <v>132.34300000000002</v>
      </c>
      <c r="M15" s="227">
        <v>30.042000000000002</v>
      </c>
      <c r="N15" s="229">
        <v>37.28</v>
      </c>
      <c r="O15" s="227">
        <v>65.021000000000001</v>
      </c>
      <c r="P15" s="217">
        <v>17.329999999999998</v>
      </c>
      <c r="Q15" s="255"/>
      <c r="R15" s="210">
        <v>2001</v>
      </c>
      <c r="S15" s="857">
        <f t="shared" si="7"/>
        <v>305.89697000000001</v>
      </c>
      <c r="T15" s="584">
        <f t="shared" si="1"/>
        <v>95.058679999999995</v>
      </c>
      <c r="U15" s="584">
        <f t="shared" si="2"/>
        <v>210.83829</v>
      </c>
      <c r="V15" s="584"/>
      <c r="X15" s="251"/>
      <c r="Y15" s="251"/>
      <c r="Z15" s="251"/>
      <c r="AA15" s="251"/>
      <c r="AB15" s="251"/>
    </row>
    <row r="16" spans="1:31" x14ac:dyDescent="0.2">
      <c r="B16" s="218">
        <v>2003</v>
      </c>
      <c r="C16" s="219">
        <f>+D16+P16</f>
        <v>235.38499999999999</v>
      </c>
      <c r="D16" s="220">
        <f>+E16+F16+G16</f>
        <v>191.95699999999999</v>
      </c>
      <c r="E16" s="221">
        <f>+I16+M16</f>
        <v>87.165000000000006</v>
      </c>
      <c r="F16" s="221">
        <f>+J16+N16</f>
        <v>12.826000000000001</v>
      </c>
      <c r="G16" s="947">
        <f>+K16+O16</f>
        <v>91.965999999999994</v>
      </c>
      <c r="H16" s="222">
        <f>+I16+J16+K16</f>
        <v>110.83199999999999</v>
      </c>
      <c r="I16" s="221">
        <v>67.105000000000004</v>
      </c>
      <c r="J16" s="221"/>
      <c r="K16" s="947">
        <v>43.726999999999997</v>
      </c>
      <c r="L16" s="222">
        <f>+M16+N16+O16</f>
        <v>81.125</v>
      </c>
      <c r="M16" s="221">
        <v>20.059999999999999</v>
      </c>
      <c r="N16" s="231">
        <v>12.826000000000001</v>
      </c>
      <c r="O16" s="221">
        <v>48.238999999999997</v>
      </c>
      <c r="P16" s="223">
        <v>43.427999999999997</v>
      </c>
      <c r="Q16" s="250"/>
      <c r="R16" s="210">
        <v>2002</v>
      </c>
      <c r="S16" s="857">
        <f t="shared" si="7"/>
        <v>242.19900000000001</v>
      </c>
      <c r="T16" s="584">
        <f t="shared" si="1"/>
        <v>109.85599999999999</v>
      </c>
      <c r="U16" s="584">
        <f t="shared" si="2"/>
        <v>132.34300000000002</v>
      </c>
      <c r="V16" s="584"/>
      <c r="X16" s="251"/>
      <c r="Y16" s="251"/>
      <c r="Z16" s="251"/>
      <c r="AA16" s="251"/>
      <c r="AB16" s="251"/>
    </row>
    <row r="17" spans="2:31" x14ac:dyDescent="0.2">
      <c r="B17" s="224">
        <v>2004</v>
      </c>
      <c r="C17" s="225">
        <f t="shared" si="3"/>
        <v>323.77300000000002</v>
      </c>
      <c r="D17" s="226">
        <f t="shared" si="4"/>
        <v>284.69500000000005</v>
      </c>
      <c r="E17" s="227">
        <f t="shared" si="0"/>
        <v>159.566</v>
      </c>
      <c r="F17" s="227">
        <f t="shared" si="0"/>
        <v>24.366</v>
      </c>
      <c r="G17" s="948">
        <f t="shared" si="0"/>
        <v>100.76300000000001</v>
      </c>
      <c r="H17" s="228">
        <f t="shared" si="5"/>
        <v>116.143</v>
      </c>
      <c r="I17" s="227">
        <v>67.001000000000005</v>
      </c>
      <c r="J17" s="227"/>
      <c r="K17" s="948">
        <v>49.142000000000003</v>
      </c>
      <c r="L17" s="228">
        <f t="shared" si="6"/>
        <v>168.55199999999999</v>
      </c>
      <c r="M17" s="227">
        <v>92.564999999999998</v>
      </c>
      <c r="N17" s="229">
        <v>24.366</v>
      </c>
      <c r="O17" s="227">
        <v>51.621000000000002</v>
      </c>
      <c r="P17" s="217">
        <v>39.078000000000003</v>
      </c>
      <c r="Q17" s="250"/>
      <c r="R17" s="210">
        <v>2003</v>
      </c>
      <c r="S17" s="857">
        <f t="shared" si="7"/>
        <v>191.95699999999999</v>
      </c>
      <c r="T17" s="584">
        <f t="shared" si="1"/>
        <v>110.83199999999999</v>
      </c>
      <c r="U17" s="584">
        <f t="shared" si="2"/>
        <v>81.125</v>
      </c>
      <c r="V17" s="584"/>
      <c r="X17" s="251"/>
      <c r="Y17" s="251"/>
      <c r="Z17" s="251"/>
      <c r="AA17" s="251"/>
      <c r="AB17" s="251"/>
    </row>
    <row r="18" spans="2:31" x14ac:dyDescent="0.2">
      <c r="B18" s="218">
        <v>2005</v>
      </c>
      <c r="C18" s="219">
        <f>+D18+P18</f>
        <v>393.73589000000004</v>
      </c>
      <c r="D18" s="220">
        <f t="shared" si="4"/>
        <v>348.49189000000001</v>
      </c>
      <c r="E18" s="221">
        <f t="shared" si="0"/>
        <v>193.49135000000001</v>
      </c>
      <c r="F18" s="221">
        <f t="shared" si="0"/>
        <v>20.633900000000001</v>
      </c>
      <c r="G18" s="947">
        <f t="shared" si="0"/>
        <v>134.36663999999999</v>
      </c>
      <c r="H18" s="222">
        <f t="shared" si="5"/>
        <v>117.43026999999999</v>
      </c>
      <c r="I18" s="221">
        <v>53.766709999999996</v>
      </c>
      <c r="J18" s="221"/>
      <c r="K18" s="947">
        <v>63.663559999999997</v>
      </c>
      <c r="L18" s="222">
        <f t="shared" si="6"/>
        <v>231.06162000000003</v>
      </c>
      <c r="M18" s="221">
        <v>139.72464000000002</v>
      </c>
      <c r="N18" s="231">
        <v>20.633900000000001</v>
      </c>
      <c r="O18" s="221">
        <v>70.70308</v>
      </c>
      <c r="P18" s="223">
        <v>45.244</v>
      </c>
      <c r="Q18" s="250"/>
      <c r="R18" s="210">
        <v>2004</v>
      </c>
      <c r="S18" s="857">
        <f t="shared" si="7"/>
        <v>284.69499999999999</v>
      </c>
      <c r="T18" s="584">
        <f t="shared" si="1"/>
        <v>116.143</v>
      </c>
      <c r="U18" s="584">
        <f t="shared" si="2"/>
        <v>168.55199999999999</v>
      </c>
      <c r="V18" s="584"/>
      <c r="X18" s="251"/>
      <c r="Y18" s="251"/>
      <c r="Z18" s="251"/>
      <c r="AA18" s="251"/>
      <c r="AB18" s="251"/>
    </row>
    <row r="19" spans="2:31" x14ac:dyDescent="0.2">
      <c r="B19" s="224">
        <v>2006</v>
      </c>
      <c r="C19" s="225">
        <f>+D19+P19</f>
        <v>480.15700000000004</v>
      </c>
      <c r="D19" s="226">
        <f t="shared" si="4"/>
        <v>446.20400000000001</v>
      </c>
      <c r="E19" s="227">
        <f t="shared" si="0"/>
        <v>289.57499999999999</v>
      </c>
      <c r="F19" s="227">
        <f t="shared" si="0"/>
        <v>16.542999999999999</v>
      </c>
      <c r="G19" s="948">
        <f t="shared" si="0"/>
        <v>140.08600000000001</v>
      </c>
      <c r="H19" s="228">
        <f t="shared" si="5"/>
        <v>95.745000000000005</v>
      </c>
      <c r="I19" s="227">
        <v>29.198</v>
      </c>
      <c r="J19" s="227"/>
      <c r="K19" s="948">
        <v>66.546999999999997</v>
      </c>
      <c r="L19" s="228">
        <f t="shared" si="6"/>
        <v>350.459</v>
      </c>
      <c r="M19" s="227">
        <v>260.37700000000001</v>
      </c>
      <c r="N19" s="229">
        <v>16.542999999999999</v>
      </c>
      <c r="O19" s="227">
        <v>73.539000000000001</v>
      </c>
      <c r="P19" s="217">
        <v>33.953000000000003</v>
      </c>
      <c r="Q19" s="250"/>
      <c r="R19" s="210">
        <v>2005</v>
      </c>
      <c r="S19" s="857">
        <f t="shared" si="7"/>
        <v>348.49189000000001</v>
      </c>
      <c r="T19" s="584">
        <f t="shared" si="1"/>
        <v>117.43026999999999</v>
      </c>
      <c r="U19" s="584">
        <f t="shared" si="2"/>
        <v>231.06162000000003</v>
      </c>
      <c r="V19" s="584"/>
      <c r="X19" s="251"/>
      <c r="Y19" s="251"/>
      <c r="Z19" s="251"/>
      <c r="AA19" s="251"/>
      <c r="AB19" s="251"/>
    </row>
    <row r="20" spans="2:31" x14ac:dyDescent="0.2">
      <c r="B20" s="218">
        <v>2007</v>
      </c>
      <c r="C20" s="219">
        <f>+D20+P20</f>
        <v>629.00013000000001</v>
      </c>
      <c r="D20" s="220">
        <f t="shared" si="4"/>
        <v>539.07312999999999</v>
      </c>
      <c r="E20" s="221">
        <f t="shared" si="0"/>
        <v>318.03030000000001</v>
      </c>
      <c r="F20" s="221">
        <f t="shared" si="0"/>
        <v>69.635899999999992</v>
      </c>
      <c r="G20" s="947">
        <f t="shared" si="0"/>
        <v>151.40692999999999</v>
      </c>
      <c r="H20" s="222">
        <f t="shared" si="5"/>
        <v>139.72556</v>
      </c>
      <c r="I20" s="221">
        <v>73.499299999999991</v>
      </c>
      <c r="J20" s="221"/>
      <c r="K20" s="947">
        <v>66.226260000000011</v>
      </c>
      <c r="L20" s="222">
        <f t="shared" si="6"/>
        <v>399.34757000000002</v>
      </c>
      <c r="M20" s="221">
        <v>244.53100000000001</v>
      </c>
      <c r="N20" s="231">
        <v>69.635899999999992</v>
      </c>
      <c r="O20" s="221">
        <v>85.180669999999992</v>
      </c>
      <c r="P20" s="223">
        <v>89.927000000000007</v>
      </c>
      <c r="Q20" s="250"/>
      <c r="R20" s="585">
        <v>2006</v>
      </c>
      <c r="S20" s="857">
        <f t="shared" si="7"/>
        <v>446.20400000000001</v>
      </c>
      <c r="T20" s="584">
        <f t="shared" si="1"/>
        <v>95.745000000000005</v>
      </c>
      <c r="U20" s="584">
        <f t="shared" si="2"/>
        <v>350.459</v>
      </c>
      <c r="V20" s="584"/>
      <c r="X20" s="251"/>
      <c r="Y20" s="251"/>
      <c r="Z20" s="251"/>
      <c r="AA20" s="251"/>
      <c r="AB20" s="251"/>
    </row>
    <row r="21" spans="2:31" x14ac:dyDescent="0.2">
      <c r="B21" s="224">
        <v>2008</v>
      </c>
      <c r="C21" s="225">
        <f t="shared" ref="C21:C26" si="8">D21+P21</f>
        <v>862.00699999999995</v>
      </c>
      <c r="D21" s="226">
        <f t="shared" si="4"/>
        <v>762.52</v>
      </c>
      <c r="E21" s="227">
        <f t="shared" si="0"/>
        <v>483.51</v>
      </c>
      <c r="F21" s="227">
        <f t="shared" si="0"/>
        <v>43.1</v>
      </c>
      <c r="G21" s="948">
        <f t="shared" si="0"/>
        <v>235.91</v>
      </c>
      <c r="H21" s="228">
        <f t="shared" si="5"/>
        <v>128.88</v>
      </c>
      <c r="I21" s="227">
        <v>26.5</v>
      </c>
      <c r="J21" s="227"/>
      <c r="K21" s="948">
        <v>102.38</v>
      </c>
      <c r="L21" s="228">
        <f t="shared" si="6"/>
        <v>633.64</v>
      </c>
      <c r="M21" s="227">
        <v>457.01</v>
      </c>
      <c r="N21" s="229">
        <v>43.1</v>
      </c>
      <c r="O21" s="227">
        <v>133.53</v>
      </c>
      <c r="P21" s="217">
        <v>99.486999999999995</v>
      </c>
      <c r="Q21" s="250"/>
      <c r="R21" s="585">
        <v>2007</v>
      </c>
      <c r="S21" s="857">
        <f t="shared" si="7"/>
        <v>539.07312999999999</v>
      </c>
      <c r="T21" s="584">
        <f t="shared" si="1"/>
        <v>139.72556</v>
      </c>
      <c r="U21" s="584">
        <f t="shared" si="2"/>
        <v>399.34757000000002</v>
      </c>
      <c r="V21" s="584"/>
      <c r="X21" s="251"/>
      <c r="Y21" s="251"/>
      <c r="Z21" s="251"/>
      <c r="AA21" s="251"/>
      <c r="AB21" s="251"/>
    </row>
    <row r="22" spans="2:31" x14ac:dyDescent="0.2">
      <c r="B22" s="232">
        <v>2009</v>
      </c>
      <c r="C22" s="219">
        <f t="shared" si="8"/>
        <v>1176.8417200000001</v>
      </c>
      <c r="D22" s="220">
        <f t="shared" si="4"/>
        <v>992.11972000000003</v>
      </c>
      <c r="E22" s="221">
        <f t="shared" si="0"/>
        <v>448.38329999999996</v>
      </c>
      <c r="F22" s="221">
        <f t="shared" si="0"/>
        <v>254.363</v>
      </c>
      <c r="G22" s="947">
        <f t="shared" si="0"/>
        <v>289.37342000000001</v>
      </c>
      <c r="H22" s="222">
        <f t="shared" si="5"/>
        <v>250.28899999999999</v>
      </c>
      <c r="I22" s="233">
        <v>88.849000000000004</v>
      </c>
      <c r="J22" s="233"/>
      <c r="K22" s="949">
        <v>161.44</v>
      </c>
      <c r="L22" s="222">
        <f t="shared" si="6"/>
        <v>741.83071999999993</v>
      </c>
      <c r="M22" s="233">
        <v>359.53429999999997</v>
      </c>
      <c r="N22" s="234">
        <v>254.363</v>
      </c>
      <c r="O22" s="233">
        <v>127.93342</v>
      </c>
      <c r="P22" s="223">
        <v>184.72200000000001</v>
      </c>
      <c r="Q22" s="250"/>
      <c r="R22" s="585">
        <v>2008</v>
      </c>
      <c r="S22" s="857">
        <f t="shared" si="7"/>
        <v>762.52</v>
      </c>
      <c r="T22" s="584">
        <f t="shared" si="1"/>
        <v>128.88</v>
      </c>
      <c r="U22" s="584">
        <f t="shared" si="2"/>
        <v>633.64</v>
      </c>
      <c r="V22" s="584"/>
      <c r="X22" s="251"/>
      <c r="Y22" s="251"/>
      <c r="Z22" s="251"/>
      <c r="AA22" s="251"/>
      <c r="AB22" s="251"/>
    </row>
    <row r="23" spans="2:31" x14ac:dyDescent="0.2">
      <c r="B23" s="224">
        <v>2010</v>
      </c>
      <c r="C23" s="225">
        <f t="shared" si="8"/>
        <v>1367.7377822261485</v>
      </c>
      <c r="D23" s="226">
        <f t="shared" si="4"/>
        <v>1144.3617822261485</v>
      </c>
      <c r="E23" s="227">
        <f t="shared" si="0"/>
        <v>558.63338222614846</v>
      </c>
      <c r="F23" s="227">
        <f t="shared" si="0"/>
        <v>332.55720000000002</v>
      </c>
      <c r="G23" s="948">
        <f t="shared" si="0"/>
        <v>253.1712</v>
      </c>
      <c r="H23" s="228">
        <f t="shared" si="5"/>
        <v>165.61058222614841</v>
      </c>
      <c r="I23" s="227">
        <v>25.113882226148409</v>
      </c>
      <c r="J23" s="227"/>
      <c r="K23" s="948">
        <v>140.4967</v>
      </c>
      <c r="L23" s="228">
        <f t="shared" si="6"/>
        <v>978.75120000000004</v>
      </c>
      <c r="M23" s="227">
        <v>533.51949999999999</v>
      </c>
      <c r="N23" s="229">
        <v>332.55720000000002</v>
      </c>
      <c r="O23" s="227">
        <v>112.67449999999999</v>
      </c>
      <c r="P23" s="217">
        <v>223.376</v>
      </c>
      <c r="Q23" s="250"/>
      <c r="R23" s="585">
        <v>2009</v>
      </c>
      <c r="S23" s="857">
        <f t="shared" si="7"/>
        <v>992.11971999999992</v>
      </c>
      <c r="T23" s="584">
        <f t="shared" si="1"/>
        <v>250.28899999999999</v>
      </c>
      <c r="U23" s="584">
        <f t="shared" si="2"/>
        <v>741.83071999999993</v>
      </c>
      <c r="V23" s="584"/>
      <c r="X23" s="251"/>
      <c r="Y23" s="251"/>
      <c r="Z23" s="251"/>
      <c r="AA23" s="251"/>
      <c r="AB23" s="251"/>
    </row>
    <row r="24" spans="2:31" s="235" customFormat="1" x14ac:dyDescent="0.2">
      <c r="B24" s="232">
        <v>2011</v>
      </c>
      <c r="C24" s="219">
        <f t="shared" si="8"/>
        <v>1880</v>
      </c>
      <c r="D24" s="220">
        <f t="shared" si="4"/>
        <v>1748.7</v>
      </c>
      <c r="E24" s="221">
        <f t="shared" ref="E24:G28" si="9">+I24+M24</f>
        <v>1240.8</v>
      </c>
      <c r="F24" s="221">
        <f t="shared" si="9"/>
        <v>278.5</v>
      </c>
      <c r="G24" s="947">
        <f t="shared" si="9"/>
        <v>229.4</v>
      </c>
      <c r="H24" s="222">
        <f t="shared" si="5"/>
        <v>107</v>
      </c>
      <c r="I24" s="233">
        <v>28.6</v>
      </c>
      <c r="J24" s="233"/>
      <c r="K24" s="949">
        <v>78.400000000000006</v>
      </c>
      <c r="L24" s="222">
        <f t="shared" si="6"/>
        <v>1641.7</v>
      </c>
      <c r="M24" s="233">
        <v>1212.2</v>
      </c>
      <c r="N24" s="234">
        <v>278.5</v>
      </c>
      <c r="O24" s="233">
        <v>151</v>
      </c>
      <c r="P24" s="223">
        <v>131.30000000000001</v>
      </c>
      <c r="Q24" s="256"/>
      <c r="R24" s="585">
        <v>2010</v>
      </c>
      <c r="S24" s="857">
        <f t="shared" si="7"/>
        <v>1144.3617822261485</v>
      </c>
      <c r="T24" s="584">
        <f t="shared" si="1"/>
        <v>165.61058222614841</v>
      </c>
      <c r="U24" s="584">
        <f t="shared" si="2"/>
        <v>978.75120000000004</v>
      </c>
      <c r="V24" s="858"/>
      <c r="W24" s="236"/>
      <c r="X24" s="257"/>
      <c r="Y24" s="257"/>
      <c r="Z24" s="257"/>
      <c r="AA24" s="257"/>
      <c r="AB24" s="257"/>
      <c r="AC24" s="236"/>
      <c r="AD24" s="236"/>
      <c r="AE24" s="236"/>
    </row>
    <row r="25" spans="2:31" s="235" customFormat="1" x14ac:dyDescent="0.2">
      <c r="B25" s="224">
        <v>2012</v>
      </c>
      <c r="C25" s="225">
        <f t="shared" si="8"/>
        <v>2738.9250697518219</v>
      </c>
      <c r="D25" s="226">
        <f t="shared" ref="D25:D32" si="10">+E25+F25+G25</f>
        <v>2589.04386045</v>
      </c>
      <c r="E25" s="227">
        <f t="shared" si="9"/>
        <v>1781.40966045</v>
      </c>
      <c r="F25" s="227">
        <f t="shared" si="9"/>
        <v>470.27</v>
      </c>
      <c r="G25" s="948">
        <f t="shared" si="9"/>
        <v>337.36420000000004</v>
      </c>
      <c r="H25" s="228">
        <f t="shared" ref="H25:H32" si="11">+I25+J25+K25</f>
        <v>121.623</v>
      </c>
      <c r="I25" s="227">
        <v>35.28</v>
      </c>
      <c r="J25" s="227"/>
      <c r="K25" s="948">
        <v>86.343000000000004</v>
      </c>
      <c r="L25" s="228">
        <f t="shared" ref="L25:L32" si="12">+M25+N25+O25</f>
        <v>2467.42086045</v>
      </c>
      <c r="M25" s="227">
        <v>1746.1296604500001</v>
      </c>
      <c r="N25" s="229">
        <v>470.27</v>
      </c>
      <c r="O25" s="227">
        <v>251.02120000000002</v>
      </c>
      <c r="P25" s="217">
        <v>149.8812093018218</v>
      </c>
      <c r="Q25" s="256"/>
      <c r="R25" s="585">
        <v>2011</v>
      </c>
      <c r="S25" s="857">
        <f t="shared" si="7"/>
        <v>1748.7</v>
      </c>
      <c r="T25" s="584">
        <f t="shared" si="1"/>
        <v>107</v>
      </c>
      <c r="U25" s="584">
        <f t="shared" si="2"/>
        <v>1641.7</v>
      </c>
      <c r="V25" s="858"/>
      <c r="W25" s="236"/>
      <c r="X25" s="257"/>
      <c r="Y25" s="257"/>
      <c r="Z25" s="257"/>
      <c r="AA25" s="257"/>
      <c r="AB25" s="257"/>
      <c r="AC25" s="236"/>
      <c r="AD25" s="236"/>
      <c r="AE25" s="236"/>
    </row>
    <row r="26" spans="2:31" s="235" customFormat="1" x14ac:dyDescent="0.2">
      <c r="B26" s="232">
        <v>2013</v>
      </c>
      <c r="C26" s="219">
        <f t="shared" si="8"/>
        <v>2589.0289318988771</v>
      </c>
      <c r="D26" s="220">
        <f t="shared" si="10"/>
        <v>2439.6153999999997</v>
      </c>
      <c r="E26" s="221">
        <f t="shared" si="9"/>
        <v>1829.8335</v>
      </c>
      <c r="F26" s="221">
        <f t="shared" si="9"/>
        <v>188.4134</v>
      </c>
      <c r="G26" s="947">
        <f t="shared" si="9"/>
        <v>421.36850000000004</v>
      </c>
      <c r="H26" s="222">
        <f t="shared" si="11"/>
        <v>209.3229</v>
      </c>
      <c r="I26" s="233">
        <v>65.214799999999997</v>
      </c>
      <c r="J26" s="233"/>
      <c r="K26" s="949">
        <v>144.10810000000001</v>
      </c>
      <c r="L26" s="222">
        <f t="shared" si="12"/>
        <v>2230.2925</v>
      </c>
      <c r="M26" s="233">
        <v>1764.6187</v>
      </c>
      <c r="N26" s="234">
        <v>188.4134</v>
      </c>
      <c r="O26" s="233">
        <v>277.2604</v>
      </c>
      <c r="P26" s="223">
        <v>149.41353189887735</v>
      </c>
      <c r="Q26" s="256"/>
      <c r="R26" s="859">
        <v>2012</v>
      </c>
      <c r="S26" s="857">
        <f t="shared" si="7"/>
        <v>2589.04386045</v>
      </c>
      <c r="T26" s="584">
        <f t="shared" si="1"/>
        <v>121.623</v>
      </c>
      <c r="U26" s="584">
        <f t="shared" si="2"/>
        <v>2467.42086045</v>
      </c>
      <c r="V26" s="858"/>
      <c r="W26" s="236"/>
      <c r="X26" s="257"/>
      <c r="Y26" s="257"/>
      <c r="Z26" s="257"/>
      <c r="AA26" s="257"/>
      <c r="AB26" s="257"/>
      <c r="AC26" s="236"/>
      <c r="AD26" s="236"/>
      <c r="AE26" s="236"/>
    </row>
    <row r="27" spans="2:31" s="235" customFormat="1" x14ac:dyDescent="0.2">
      <c r="B27" s="237">
        <v>2014</v>
      </c>
      <c r="C27" s="225">
        <f t="shared" ref="C27:C32" si="13">D27+P27</f>
        <v>2777.6365865752709</v>
      </c>
      <c r="D27" s="226">
        <f t="shared" si="10"/>
        <v>2666.6126000887843</v>
      </c>
      <c r="E27" s="227">
        <f t="shared" si="9"/>
        <v>2021.3049047048166</v>
      </c>
      <c r="F27" s="227">
        <f t="shared" si="9"/>
        <v>244.01244188000001</v>
      </c>
      <c r="G27" s="948">
        <f t="shared" si="9"/>
        <v>401.29525350396761</v>
      </c>
      <c r="H27" s="228">
        <f t="shared" si="11"/>
        <v>178.33149350396769</v>
      </c>
      <c r="I27" s="227">
        <v>62.090519999999998</v>
      </c>
      <c r="J27" s="227"/>
      <c r="K27" s="948">
        <v>116.24097350396768</v>
      </c>
      <c r="L27" s="228">
        <f t="shared" si="12"/>
        <v>2488.2811065848164</v>
      </c>
      <c r="M27" s="227">
        <v>1959.2143847048167</v>
      </c>
      <c r="N27" s="229">
        <v>244.01244188000001</v>
      </c>
      <c r="O27" s="227">
        <v>285.05427999999995</v>
      </c>
      <c r="P27" s="217">
        <v>111.02398648648649</v>
      </c>
      <c r="Q27" s="256"/>
      <c r="R27" s="859">
        <v>2013</v>
      </c>
      <c r="S27" s="857">
        <f t="shared" si="7"/>
        <v>2439.6154000000001</v>
      </c>
      <c r="T27" s="584">
        <f t="shared" si="1"/>
        <v>209.3229</v>
      </c>
      <c r="U27" s="584">
        <f t="shared" si="2"/>
        <v>2230.2925</v>
      </c>
      <c r="V27" s="858"/>
      <c r="W27" s="236"/>
      <c r="X27" s="257"/>
      <c r="Y27" s="257"/>
      <c r="Z27" s="257"/>
      <c r="AA27" s="257"/>
      <c r="AB27" s="257"/>
      <c r="AC27" s="236"/>
      <c r="AD27" s="236"/>
      <c r="AE27" s="236"/>
    </row>
    <row r="28" spans="2:31" s="235" customFormat="1" x14ac:dyDescent="0.2">
      <c r="B28" s="232">
        <v>2015</v>
      </c>
      <c r="C28" s="219">
        <f t="shared" si="13"/>
        <v>2593.4579568204049</v>
      </c>
      <c r="D28" s="220">
        <f t="shared" si="10"/>
        <v>2486.3082598507081</v>
      </c>
      <c r="E28" s="221">
        <f t="shared" si="9"/>
        <v>1773.8894952016162</v>
      </c>
      <c r="F28" s="221">
        <f t="shared" si="9"/>
        <v>354.97169140999995</v>
      </c>
      <c r="G28" s="947">
        <f t="shared" si="9"/>
        <v>357.44707323909199</v>
      </c>
      <c r="H28" s="222">
        <f t="shared" si="11"/>
        <v>122.07089438088975</v>
      </c>
      <c r="I28" s="233">
        <v>43.02659068965518</v>
      </c>
      <c r="J28" s="233"/>
      <c r="K28" s="949">
        <v>79.044303691234575</v>
      </c>
      <c r="L28" s="222">
        <f t="shared" si="12"/>
        <v>2364.2373654698185</v>
      </c>
      <c r="M28" s="233">
        <v>1730.862904511961</v>
      </c>
      <c r="N28" s="234">
        <v>354.97169140999995</v>
      </c>
      <c r="O28" s="233">
        <v>278.40276954785742</v>
      </c>
      <c r="P28" s="223">
        <v>107.14969696969698</v>
      </c>
      <c r="Q28" s="256"/>
      <c r="R28" s="859">
        <v>2014</v>
      </c>
      <c r="S28" s="857">
        <f t="shared" si="7"/>
        <v>2666.6126000887839</v>
      </c>
      <c r="T28" s="584">
        <f t="shared" si="1"/>
        <v>178.33149350396769</v>
      </c>
      <c r="U28" s="584">
        <f t="shared" si="2"/>
        <v>2488.2811065848164</v>
      </c>
      <c r="V28" s="858"/>
      <c r="W28" s="236"/>
      <c r="X28" s="257"/>
      <c r="Y28" s="257"/>
      <c r="Z28" s="257"/>
      <c r="AA28" s="257"/>
      <c r="AB28" s="257"/>
      <c r="AC28" s="236"/>
      <c r="AD28" s="236"/>
      <c r="AE28" s="236"/>
    </row>
    <row r="29" spans="2:31" s="235" customFormat="1" x14ac:dyDescent="0.2">
      <c r="B29" s="237">
        <v>2016</v>
      </c>
      <c r="C29" s="225">
        <f t="shared" si="13"/>
        <v>1798.3000000000002</v>
      </c>
      <c r="D29" s="226">
        <f t="shared" si="10"/>
        <v>1728.9</v>
      </c>
      <c r="E29" s="227">
        <f t="shared" ref="E29:G32" si="14">+I29+M29</f>
        <v>965.9</v>
      </c>
      <c r="F29" s="227">
        <f t="shared" si="14"/>
        <v>398.3</v>
      </c>
      <c r="G29" s="948">
        <f t="shared" si="14"/>
        <v>364.7</v>
      </c>
      <c r="H29" s="228">
        <f t="shared" si="11"/>
        <v>127</v>
      </c>
      <c r="I29" s="227">
        <v>27</v>
      </c>
      <c r="J29" s="227"/>
      <c r="K29" s="948">
        <v>100</v>
      </c>
      <c r="L29" s="228">
        <f t="shared" si="12"/>
        <v>1601.9</v>
      </c>
      <c r="M29" s="227">
        <v>938.9</v>
      </c>
      <c r="N29" s="229">
        <v>398.3</v>
      </c>
      <c r="O29" s="227">
        <v>264.7</v>
      </c>
      <c r="P29" s="217">
        <v>69.400000000000006</v>
      </c>
      <c r="Q29" s="256"/>
      <c r="R29" s="859">
        <v>2015</v>
      </c>
      <c r="S29" s="857">
        <f t="shared" si="7"/>
        <v>2486.3082598507085</v>
      </c>
      <c r="T29" s="584">
        <f t="shared" si="1"/>
        <v>122.07089438088975</v>
      </c>
      <c r="U29" s="584">
        <f t="shared" si="2"/>
        <v>2364.2373654698185</v>
      </c>
      <c r="V29" s="858"/>
      <c r="W29" s="236"/>
      <c r="X29" s="257"/>
      <c r="Y29" s="257"/>
      <c r="Z29" s="257"/>
      <c r="AA29" s="257"/>
      <c r="AB29" s="257"/>
      <c r="AC29" s="236"/>
      <c r="AD29" s="236"/>
      <c r="AE29" s="236"/>
    </row>
    <row r="30" spans="2:31" s="235" customFormat="1" x14ac:dyDescent="0.2">
      <c r="B30" s="1092">
        <v>2017</v>
      </c>
      <c r="C30" s="537">
        <f t="shared" si="13"/>
        <v>1519.05</v>
      </c>
      <c r="D30" s="538">
        <f t="shared" si="10"/>
        <v>1417.25</v>
      </c>
      <c r="E30" s="539">
        <f t="shared" si="14"/>
        <v>855.91</v>
      </c>
      <c r="F30" s="539">
        <f t="shared" si="14"/>
        <v>269</v>
      </c>
      <c r="G30" s="949">
        <f t="shared" si="14"/>
        <v>292.34000000000003</v>
      </c>
      <c r="H30" s="540">
        <f t="shared" si="11"/>
        <v>52</v>
      </c>
      <c r="I30" s="539">
        <v>20.399999999999999</v>
      </c>
      <c r="J30" s="539"/>
      <c r="K30" s="949">
        <v>31.6</v>
      </c>
      <c r="L30" s="541">
        <f t="shared" si="12"/>
        <v>1365.25</v>
      </c>
      <c r="M30" s="539">
        <v>835.51</v>
      </c>
      <c r="N30" s="542">
        <v>269</v>
      </c>
      <c r="O30" s="539">
        <v>260.74</v>
      </c>
      <c r="P30" s="543">
        <v>101.8</v>
      </c>
      <c r="Q30" s="256"/>
      <c r="R30" s="859">
        <v>2016</v>
      </c>
      <c r="S30" s="857">
        <f>+T30+U30</f>
        <v>1728.9</v>
      </c>
      <c r="T30" s="584">
        <f t="shared" si="1"/>
        <v>127</v>
      </c>
      <c r="U30" s="584">
        <f t="shared" si="2"/>
        <v>1601.9</v>
      </c>
      <c r="V30" s="858"/>
      <c r="W30" s="236"/>
      <c r="X30" s="257"/>
      <c r="Y30" s="257"/>
      <c r="Z30" s="257"/>
      <c r="AA30" s="257"/>
      <c r="AB30" s="257"/>
      <c r="AC30" s="236"/>
      <c r="AD30" s="236"/>
      <c r="AE30" s="236"/>
    </row>
    <row r="31" spans="2:31" s="235" customFormat="1" x14ac:dyDescent="0.2">
      <c r="B31" s="237">
        <v>2018</v>
      </c>
      <c r="C31" s="225">
        <f t="shared" si="13"/>
        <v>766.1594998765255</v>
      </c>
      <c r="D31" s="226">
        <f>+E31+F31+G31</f>
        <v>659.1963463804035</v>
      </c>
      <c r="E31" s="227">
        <f>+I31+M31</f>
        <v>270.7029896800878</v>
      </c>
      <c r="F31" s="227">
        <f>+J31+N31</f>
        <v>81.554137765000007</v>
      </c>
      <c r="G31" s="948">
        <f>+K31+O31</f>
        <v>306.93921893531569</v>
      </c>
      <c r="H31" s="228">
        <f>+I31+J31+K31</f>
        <v>78.454342463223497</v>
      </c>
      <c r="I31" s="227">
        <f>17920.2884984288/1000</f>
        <v>17.9202884984288</v>
      </c>
      <c r="J31" s="227"/>
      <c r="K31" s="948">
        <f>60534.0539647947/1000</f>
        <v>60.534053964794701</v>
      </c>
      <c r="L31" s="228">
        <f>+M31+N31+O31</f>
        <v>580.74200391718</v>
      </c>
      <c r="M31" s="227">
        <f>252782.701181659/1000</f>
        <v>252.78270118165901</v>
      </c>
      <c r="N31" s="229">
        <f>81554.137765/1000</f>
        <v>81.554137765000007</v>
      </c>
      <c r="O31" s="227">
        <f>246405.164970521/1000</f>
        <v>246.40516497052101</v>
      </c>
      <c r="P31" s="217">
        <v>106.963153496122</v>
      </c>
      <c r="Q31" s="256"/>
      <c r="R31" s="859">
        <v>2016</v>
      </c>
      <c r="S31" s="857">
        <f>+T31+U31</f>
        <v>1417.25</v>
      </c>
      <c r="T31" s="584">
        <f>+H30</f>
        <v>52</v>
      </c>
      <c r="U31" s="584">
        <f>+L30</f>
        <v>1365.25</v>
      </c>
      <c r="V31" s="858"/>
      <c r="W31" s="236"/>
      <c r="X31" s="257"/>
      <c r="Y31" s="257"/>
      <c r="Z31" s="257"/>
      <c r="AA31" s="257"/>
      <c r="AB31" s="257"/>
      <c r="AC31" s="236"/>
      <c r="AD31" s="236"/>
      <c r="AE31" s="236"/>
    </row>
    <row r="32" spans="2:31" s="235" customFormat="1" x14ac:dyDescent="0.2">
      <c r="B32" s="1240">
        <v>2019</v>
      </c>
      <c r="C32" s="537">
        <f t="shared" si="13"/>
        <v>709.63635261285049</v>
      </c>
      <c r="D32" s="538">
        <f t="shared" si="10"/>
        <v>618.38349010573825</v>
      </c>
      <c r="E32" s="539">
        <f t="shared" si="14"/>
        <v>197.33050129443214</v>
      </c>
      <c r="F32" s="539">
        <f t="shared" ref="F32" si="15">+J32+N32</f>
        <v>152.23425350425475</v>
      </c>
      <c r="G32" s="949">
        <f t="shared" ref="G32" si="16">+K32+O32</f>
        <v>268.81873530705138</v>
      </c>
      <c r="H32" s="540">
        <f t="shared" si="11"/>
        <v>170.00447599202266</v>
      </c>
      <c r="I32" s="539">
        <v>19.748448735896869</v>
      </c>
      <c r="J32" s="539"/>
      <c r="K32" s="949">
        <v>150.2560272561258</v>
      </c>
      <c r="L32" s="541">
        <f t="shared" si="12"/>
        <v>448.37901411371558</v>
      </c>
      <c r="M32" s="539">
        <v>177.58205255853528</v>
      </c>
      <c r="N32" s="542">
        <v>152.23425350425475</v>
      </c>
      <c r="O32" s="539">
        <v>118.56270805092556</v>
      </c>
      <c r="P32" s="543">
        <v>91.252862507112198</v>
      </c>
      <c r="Q32" s="256"/>
      <c r="R32" s="859">
        <v>2017</v>
      </c>
      <c r="S32" s="857">
        <f>+T32+U32</f>
        <v>1417.25</v>
      </c>
      <c r="T32" s="584">
        <f>+H30</f>
        <v>52</v>
      </c>
      <c r="U32" s="584">
        <f>+L30</f>
        <v>1365.25</v>
      </c>
      <c r="V32" s="858"/>
      <c r="W32" s="236"/>
      <c r="X32" s="257"/>
      <c r="Y32" s="257"/>
      <c r="Z32" s="257"/>
      <c r="AA32" s="257"/>
      <c r="AB32" s="257"/>
      <c r="AC32" s="236"/>
      <c r="AD32" s="236"/>
      <c r="AE32" s="236"/>
    </row>
    <row r="33" spans="2:31" ht="13.5" thickBot="1" x14ac:dyDescent="0.25">
      <c r="B33" s="238"/>
      <c r="C33" s="239"/>
      <c r="D33" s="240"/>
      <c r="E33" s="241"/>
      <c r="F33" s="241"/>
      <c r="G33" s="950"/>
      <c r="H33" s="242"/>
      <c r="I33" s="243"/>
      <c r="J33" s="243"/>
      <c r="K33" s="963"/>
      <c r="L33" s="242"/>
      <c r="M33" s="243"/>
      <c r="N33" s="244"/>
      <c r="O33" s="243"/>
      <c r="P33" s="245"/>
      <c r="Q33" s="250"/>
      <c r="R33" s="859">
        <v>2018</v>
      </c>
      <c r="S33" s="857">
        <f>+T33+U33</f>
        <v>659.1963463804035</v>
      </c>
      <c r="T33" s="584">
        <f>+H31</f>
        <v>78.454342463223497</v>
      </c>
      <c r="U33" s="584">
        <f>+L31</f>
        <v>580.74200391718</v>
      </c>
      <c r="V33" s="584"/>
      <c r="X33" s="251"/>
      <c r="Y33" s="251"/>
      <c r="Z33" s="251"/>
      <c r="AA33" s="251"/>
      <c r="AB33" s="251"/>
    </row>
    <row r="34" spans="2:31" s="851" customFormat="1" ht="15" customHeight="1" x14ac:dyDescent="0.2">
      <c r="B34" s="938" t="s">
        <v>356</v>
      </c>
      <c r="C34" s="942">
        <f t="shared" ref="C34:I34" si="17">(C32/C31)-1</f>
        <v>-7.3774647802166915E-2</v>
      </c>
      <c r="D34" s="951">
        <f t="shared" si="17"/>
        <v>-6.1913049880760851E-2</v>
      </c>
      <c r="E34" s="952">
        <f t="shared" si="17"/>
        <v>-0.27104424843022978</v>
      </c>
      <c r="F34" s="952">
        <f t="shared" si="17"/>
        <v>0.8666649869185179</v>
      </c>
      <c r="G34" s="953">
        <f t="shared" si="17"/>
        <v>-0.12419554516523945</v>
      </c>
      <c r="H34" s="614">
        <f t="shared" si="17"/>
        <v>1.1669224501080291</v>
      </c>
      <c r="I34" s="952">
        <f t="shared" si="17"/>
        <v>0.10201622801041155</v>
      </c>
      <c r="J34" s="952"/>
      <c r="K34" s="953">
        <f t="shared" ref="K34:P34" si="18">(K32/K31)-1</f>
        <v>1.4821735438950028</v>
      </c>
      <c r="L34" s="614">
        <f t="shared" si="18"/>
        <v>-0.22792046883238837</v>
      </c>
      <c r="M34" s="952">
        <f t="shared" si="18"/>
        <v>-0.29749127717834523</v>
      </c>
      <c r="N34" s="952">
        <f t="shared" si="18"/>
        <v>0.8666649869185179</v>
      </c>
      <c r="O34" s="952">
        <f t="shared" si="18"/>
        <v>-0.51883026451531578</v>
      </c>
      <c r="P34" s="953">
        <f t="shared" si="18"/>
        <v>-0.14687572753340139</v>
      </c>
      <c r="Q34" s="864"/>
      <c r="R34" s="859">
        <v>2019</v>
      </c>
      <c r="S34" s="857">
        <f>+T34+U34</f>
        <v>618.38349010573825</v>
      </c>
      <c r="T34" s="584">
        <f>+H32</f>
        <v>170.00447599202266</v>
      </c>
      <c r="U34" s="584">
        <f>+L32</f>
        <v>448.37901411371558</v>
      </c>
      <c r="V34" s="854"/>
      <c r="W34" s="854"/>
      <c r="X34" s="853"/>
      <c r="Y34" s="853"/>
      <c r="Z34" s="853"/>
      <c r="AA34" s="853"/>
      <c r="AB34" s="853"/>
      <c r="AC34" s="854"/>
      <c r="AD34" s="854"/>
      <c r="AE34" s="854"/>
    </row>
    <row r="35" spans="2:31" s="851" customFormat="1" ht="15" customHeight="1" x14ac:dyDescent="0.2">
      <c r="B35" s="939" t="s">
        <v>357</v>
      </c>
      <c r="C35" s="943">
        <f t="shared" ref="C35:I35" si="19">((C32/C27)^(1/5))-1</f>
        <v>-0.23884678483423916</v>
      </c>
      <c r="D35" s="954">
        <f t="shared" si="19"/>
        <v>-0.25344881038904143</v>
      </c>
      <c r="E35" s="955">
        <f t="shared" si="19"/>
        <v>-0.37206819924761847</v>
      </c>
      <c r="F35" s="955">
        <f t="shared" si="19"/>
        <v>-9.0044651142436538E-2</v>
      </c>
      <c r="G35" s="956">
        <f t="shared" si="19"/>
        <v>-7.7005523397059128E-2</v>
      </c>
      <c r="H35" s="616">
        <f t="shared" si="19"/>
        <v>-9.5182866577956382E-3</v>
      </c>
      <c r="I35" s="955">
        <f t="shared" si="19"/>
        <v>-0.20475391823043665</v>
      </c>
      <c r="J35" s="955"/>
      <c r="K35" s="956">
        <f t="shared" ref="K35:P35" si="20">((K32/K27)^(1/5))-1</f>
        <v>5.2675542254324581E-2</v>
      </c>
      <c r="L35" s="616">
        <f t="shared" si="20"/>
        <v>-0.29017847146733866</v>
      </c>
      <c r="M35" s="955">
        <f t="shared" si="20"/>
        <v>-0.38132378181148785</v>
      </c>
      <c r="N35" s="955">
        <f t="shared" si="20"/>
        <v>-9.0044651142436538E-2</v>
      </c>
      <c r="O35" s="955">
        <f t="shared" si="20"/>
        <v>-0.16091857164038514</v>
      </c>
      <c r="P35" s="956">
        <f t="shared" si="20"/>
        <v>-3.8463143222161156E-2</v>
      </c>
      <c r="Q35" s="864"/>
      <c r="R35" s="854"/>
      <c r="S35" s="854"/>
      <c r="T35" s="854"/>
      <c r="U35" s="854"/>
      <c r="V35" s="854"/>
      <c r="W35" s="854"/>
      <c r="X35" s="853"/>
      <c r="Y35" s="853"/>
      <c r="Z35" s="853"/>
      <c r="AA35" s="853"/>
      <c r="AB35" s="853"/>
      <c r="AC35" s="854"/>
      <c r="AD35" s="854"/>
      <c r="AE35" s="854"/>
    </row>
    <row r="36" spans="2:31" s="851" customFormat="1" ht="15" customHeight="1" x14ac:dyDescent="0.2">
      <c r="B36" s="940" t="s">
        <v>358</v>
      </c>
      <c r="C36" s="944">
        <f t="shared" ref="C36:I36" si="21">(C32/C22)-1</f>
        <v>-0.39699932407830474</v>
      </c>
      <c r="D36" s="957">
        <f t="shared" si="21"/>
        <v>-0.37670476895093041</v>
      </c>
      <c r="E36" s="958">
        <f t="shared" si="21"/>
        <v>-0.55990666625087915</v>
      </c>
      <c r="F36" s="958">
        <f t="shared" si="21"/>
        <v>-0.40150787062483639</v>
      </c>
      <c r="G36" s="959">
        <f t="shared" si="21"/>
        <v>-7.1031695630333402E-2</v>
      </c>
      <c r="H36" s="618">
        <f t="shared" si="21"/>
        <v>-0.32076728904577245</v>
      </c>
      <c r="I36" s="958">
        <f t="shared" si="21"/>
        <v>-0.7777302081520685</v>
      </c>
      <c r="J36" s="958"/>
      <c r="K36" s="959">
        <f t="shared" ref="K36:P36" si="22">(K32/K22)-1</f>
        <v>-6.9276342566118587E-2</v>
      </c>
      <c r="L36" s="618">
        <f t="shared" si="22"/>
        <v>-0.39557772140561176</v>
      </c>
      <c r="M36" s="958">
        <f t="shared" si="22"/>
        <v>-0.50607757713649215</v>
      </c>
      <c r="N36" s="958">
        <f t="shared" si="22"/>
        <v>-0.40150787062483639</v>
      </c>
      <c r="O36" s="958">
        <f t="shared" si="22"/>
        <v>-7.3246786876130066E-2</v>
      </c>
      <c r="P36" s="959">
        <f t="shared" si="22"/>
        <v>-0.50599894702790027</v>
      </c>
      <c r="Q36" s="864"/>
      <c r="R36" s="1369"/>
      <c r="S36" s="854"/>
      <c r="T36" s="854"/>
      <c r="U36" s="854"/>
      <c r="V36" s="854"/>
      <c r="W36" s="854"/>
      <c r="X36" s="853"/>
      <c r="Y36" s="853"/>
      <c r="Z36" s="853"/>
      <c r="AA36" s="853"/>
      <c r="AB36" s="853"/>
      <c r="AC36" s="854"/>
      <c r="AD36" s="854"/>
      <c r="AE36" s="854"/>
    </row>
    <row r="37" spans="2:31" s="851" customFormat="1" ht="15" customHeight="1" thickBot="1" x14ac:dyDescent="0.25">
      <c r="B37" s="941" t="s">
        <v>359</v>
      </c>
      <c r="C37" s="945">
        <f t="shared" ref="C37:I37" si="23">((C32/C22)^(1/10))-1</f>
        <v>-4.9325642424431604E-2</v>
      </c>
      <c r="D37" s="960">
        <f t="shared" si="23"/>
        <v>-4.617350832822098E-2</v>
      </c>
      <c r="E37" s="961">
        <f t="shared" si="23"/>
        <v>-7.8798833949036196E-2</v>
      </c>
      <c r="F37" s="961">
        <f t="shared" si="23"/>
        <v>-5.0038850479640073E-2</v>
      </c>
      <c r="G37" s="962">
        <f t="shared" si="23"/>
        <v>-7.3409882226783685E-3</v>
      </c>
      <c r="H37" s="620">
        <f t="shared" si="23"/>
        <v>-3.7940662103926437E-2</v>
      </c>
      <c r="I37" s="961">
        <f t="shared" si="23"/>
        <v>-0.13962448151487761</v>
      </c>
      <c r="J37" s="961"/>
      <c r="K37" s="962">
        <f t="shared" ref="K37:P37" si="24">((K32/K22)^(1/10))-1</f>
        <v>-7.1535773963404825E-3</v>
      </c>
      <c r="L37" s="620">
        <f t="shared" si="24"/>
        <v>-4.9101753858930008E-2</v>
      </c>
      <c r="M37" s="961">
        <f t="shared" si="24"/>
        <v>-6.8107376048645918E-2</v>
      </c>
      <c r="N37" s="961">
        <f t="shared" si="24"/>
        <v>-5.0038850479640073E-2</v>
      </c>
      <c r="O37" s="961">
        <f t="shared" si="24"/>
        <v>-7.5779385265675181E-3</v>
      </c>
      <c r="P37" s="962">
        <f t="shared" si="24"/>
        <v>-6.8092541822438846E-2</v>
      </c>
      <c r="Q37" s="864"/>
      <c r="R37" s="1370"/>
      <c r="S37" s="854"/>
      <c r="T37" s="854"/>
      <c r="U37" s="854"/>
      <c r="V37" s="854"/>
      <c r="W37" s="854"/>
      <c r="X37" s="853"/>
      <c r="Y37" s="853"/>
      <c r="Z37" s="853"/>
      <c r="AA37" s="853"/>
      <c r="AB37" s="853"/>
      <c r="AC37" s="854"/>
      <c r="AD37" s="854"/>
      <c r="AE37" s="854"/>
    </row>
    <row r="38" spans="2:31" ht="5.25" customHeight="1" x14ac:dyDescent="0.2">
      <c r="B38" s="246"/>
      <c r="C38" s="247"/>
      <c r="D38" s="247"/>
      <c r="Q38" s="250"/>
      <c r="R38" s="860"/>
      <c r="X38" s="251"/>
      <c r="Y38" s="251"/>
      <c r="Z38" s="251"/>
      <c r="AA38" s="251"/>
      <c r="AB38" s="251"/>
    </row>
    <row r="39" spans="2:31" x14ac:dyDescent="0.2">
      <c r="B39" s="248" t="s">
        <v>232</v>
      </c>
      <c r="C39" s="248"/>
      <c r="D39" s="247"/>
      <c r="Q39" s="250"/>
      <c r="R39" s="860"/>
      <c r="X39" s="251"/>
      <c r="Y39" s="251"/>
      <c r="Z39" s="251"/>
      <c r="AA39" s="251"/>
      <c r="AB39" s="251"/>
    </row>
    <row r="40" spans="2:31" x14ac:dyDescent="0.2">
      <c r="B40" s="247" t="s">
        <v>233</v>
      </c>
      <c r="C40" s="247"/>
      <c r="D40" s="247"/>
      <c r="Q40" s="250"/>
      <c r="X40" s="251"/>
      <c r="Y40" s="251"/>
      <c r="Z40" s="251"/>
      <c r="AA40" s="251"/>
      <c r="AB40" s="251"/>
    </row>
    <row r="41" spans="2:31" x14ac:dyDescent="0.2">
      <c r="B41" s="247"/>
      <c r="C41" s="247"/>
      <c r="D41" s="247"/>
      <c r="Q41" s="250"/>
      <c r="X41" s="251"/>
      <c r="Y41" s="251"/>
      <c r="Z41" s="251"/>
      <c r="AA41" s="251"/>
      <c r="AB41" s="251"/>
    </row>
    <row r="42" spans="2:31" ht="14.25" x14ac:dyDescent="0.2">
      <c r="B42" s="247"/>
      <c r="C42" s="136"/>
      <c r="D42" s="136"/>
      <c r="Q42" s="250"/>
      <c r="S42" s="236" t="s">
        <v>235</v>
      </c>
      <c r="T42" s="584" t="s">
        <v>13</v>
      </c>
      <c r="U42" s="584" t="s">
        <v>236</v>
      </c>
      <c r="V42" s="584" t="s">
        <v>237</v>
      </c>
      <c r="X42" s="251"/>
      <c r="Y42" s="251"/>
      <c r="Z42" s="251"/>
      <c r="AA42" s="251"/>
      <c r="AB42" s="251"/>
    </row>
    <row r="43" spans="2:31" ht="20.25" x14ac:dyDescent="0.3">
      <c r="B43" s="207"/>
      <c r="C43" s="207"/>
      <c r="D43" s="249"/>
      <c r="Q43" s="250"/>
      <c r="R43" s="210">
        <v>1995</v>
      </c>
      <c r="S43" s="857">
        <f t="shared" ref="S43:S61" si="25">H8</f>
        <v>154.712999</v>
      </c>
      <c r="T43" s="857">
        <f t="shared" ref="T43:T61" si="26">I8</f>
        <v>38.418108999999994</v>
      </c>
      <c r="U43" s="857">
        <f t="shared" ref="U43:U61" si="27">J8</f>
        <v>11.412649999999999</v>
      </c>
      <c r="V43" s="857">
        <f t="shared" ref="V43:V61" si="28">K8</f>
        <v>104.88224000000001</v>
      </c>
      <c r="X43" s="251"/>
      <c r="Y43" s="251"/>
      <c r="Z43" s="251"/>
      <c r="AA43" s="251"/>
      <c r="AB43" s="251"/>
    </row>
    <row r="44" spans="2:31" x14ac:dyDescent="0.2">
      <c r="Q44" s="250"/>
      <c r="R44" s="210">
        <v>1996</v>
      </c>
      <c r="S44" s="857">
        <f t="shared" si="25"/>
        <v>176.97620699999999</v>
      </c>
      <c r="T44" s="857">
        <f t="shared" si="26"/>
        <v>65.267436999999987</v>
      </c>
      <c r="U44" s="857">
        <f t="shared" si="27"/>
        <v>16.600999999999999</v>
      </c>
      <c r="V44" s="857">
        <f t="shared" si="28"/>
        <v>95.107770000000002</v>
      </c>
      <c r="X44" s="251"/>
      <c r="Y44" s="251"/>
      <c r="Z44" s="251"/>
      <c r="AA44" s="251"/>
      <c r="AB44" s="251"/>
    </row>
    <row r="45" spans="2:31" x14ac:dyDescent="0.2">
      <c r="Q45" s="250"/>
      <c r="R45" s="210">
        <v>1997</v>
      </c>
      <c r="S45" s="857">
        <f t="shared" si="25"/>
        <v>207.88996599999999</v>
      </c>
      <c r="T45" s="857">
        <f t="shared" si="26"/>
        <v>103.23717600000001</v>
      </c>
      <c r="U45" s="857">
        <f t="shared" si="27"/>
        <v>32.720779999999998</v>
      </c>
      <c r="V45" s="857">
        <f t="shared" si="28"/>
        <v>71.932009999999991</v>
      </c>
      <c r="X45" s="251"/>
      <c r="Y45" s="251"/>
      <c r="Z45" s="251"/>
      <c r="AA45" s="251"/>
      <c r="AB45" s="251"/>
    </row>
    <row r="46" spans="2:31" x14ac:dyDescent="0.2">
      <c r="Q46" s="250"/>
      <c r="R46" s="210">
        <v>1998</v>
      </c>
      <c r="S46" s="857">
        <f t="shared" si="25"/>
        <v>202.79134299999998</v>
      </c>
      <c r="T46" s="857">
        <f t="shared" si="26"/>
        <v>114.539113</v>
      </c>
      <c r="U46" s="857">
        <f t="shared" si="27"/>
        <v>46.155269999999994</v>
      </c>
      <c r="V46" s="857">
        <f t="shared" si="28"/>
        <v>42.096959999999996</v>
      </c>
      <c r="X46" s="251"/>
      <c r="Y46" s="251"/>
      <c r="Z46" s="251"/>
      <c r="AA46" s="251"/>
      <c r="AB46" s="251"/>
    </row>
    <row r="47" spans="2:31" x14ac:dyDescent="0.2">
      <c r="Q47" s="250"/>
      <c r="R47" s="210">
        <v>1999</v>
      </c>
      <c r="S47" s="857">
        <f t="shared" si="25"/>
        <v>201.72455901183432</v>
      </c>
      <c r="T47" s="857">
        <f t="shared" si="26"/>
        <v>136.331909</v>
      </c>
      <c r="U47" s="857">
        <f t="shared" si="27"/>
        <v>31.317900000000002</v>
      </c>
      <c r="V47" s="857">
        <f t="shared" si="28"/>
        <v>34.074750011834318</v>
      </c>
      <c r="X47" s="251"/>
      <c r="Y47" s="251"/>
      <c r="Z47" s="251"/>
      <c r="AA47" s="251"/>
      <c r="AB47" s="251"/>
    </row>
    <row r="48" spans="2:31" x14ac:dyDescent="0.2">
      <c r="Q48" s="250"/>
      <c r="R48" s="210">
        <v>2000</v>
      </c>
      <c r="S48" s="857">
        <f t="shared" si="25"/>
        <v>165.994</v>
      </c>
      <c r="T48" s="857">
        <f t="shared" si="26"/>
        <v>123.21599999999999</v>
      </c>
      <c r="U48" s="857">
        <f t="shared" si="27"/>
        <v>26.69</v>
      </c>
      <c r="V48" s="857">
        <f t="shared" si="28"/>
        <v>16.088000000000001</v>
      </c>
      <c r="X48" s="251"/>
      <c r="Y48" s="251"/>
      <c r="Z48" s="251"/>
      <c r="AA48" s="251"/>
      <c r="AB48" s="251"/>
    </row>
    <row r="49" spans="17:28" x14ac:dyDescent="0.2">
      <c r="Q49" s="250"/>
      <c r="R49" s="210">
        <v>2001</v>
      </c>
      <c r="S49" s="857">
        <f t="shared" si="25"/>
        <v>95.058679999999995</v>
      </c>
      <c r="T49" s="857">
        <f t="shared" si="26"/>
        <v>76.277079999999998</v>
      </c>
      <c r="U49" s="857">
        <f t="shared" si="27"/>
        <v>3.1160000000000001</v>
      </c>
      <c r="V49" s="857">
        <f t="shared" si="28"/>
        <v>15.6656</v>
      </c>
      <c r="X49" s="251"/>
      <c r="Y49" s="251"/>
      <c r="Z49" s="251"/>
      <c r="AA49" s="251"/>
      <c r="AB49" s="251"/>
    </row>
    <row r="50" spans="17:28" x14ac:dyDescent="0.2">
      <c r="Q50" s="250"/>
      <c r="R50" s="585">
        <v>2002</v>
      </c>
      <c r="S50" s="857">
        <f t="shared" si="25"/>
        <v>109.85599999999999</v>
      </c>
      <c r="T50" s="857">
        <f t="shared" si="26"/>
        <v>77.798000000000002</v>
      </c>
      <c r="U50" s="857">
        <f t="shared" si="27"/>
        <v>0.377</v>
      </c>
      <c r="V50" s="857">
        <f t="shared" si="28"/>
        <v>31.681000000000001</v>
      </c>
      <c r="X50" s="251"/>
      <c r="Y50" s="251"/>
      <c r="Z50" s="251"/>
      <c r="AA50" s="251"/>
      <c r="AB50" s="251"/>
    </row>
    <row r="51" spans="17:28" x14ac:dyDescent="0.2">
      <c r="Q51" s="250"/>
      <c r="R51" s="210">
        <v>2003</v>
      </c>
      <c r="S51" s="857">
        <f t="shared" si="25"/>
        <v>110.83199999999999</v>
      </c>
      <c r="T51" s="857">
        <f t="shared" si="26"/>
        <v>67.105000000000004</v>
      </c>
      <c r="U51" s="857">
        <f t="shared" si="27"/>
        <v>0</v>
      </c>
      <c r="V51" s="857">
        <f t="shared" si="28"/>
        <v>43.726999999999997</v>
      </c>
      <c r="X51" s="251"/>
      <c r="Y51" s="251"/>
      <c r="Z51" s="251"/>
      <c r="AA51" s="251"/>
      <c r="AB51" s="251"/>
    </row>
    <row r="52" spans="17:28" x14ac:dyDescent="0.2">
      <c r="Q52" s="250"/>
      <c r="R52" s="210">
        <v>2004</v>
      </c>
      <c r="S52" s="857">
        <f t="shared" si="25"/>
        <v>116.143</v>
      </c>
      <c r="T52" s="857">
        <f t="shared" si="26"/>
        <v>67.001000000000005</v>
      </c>
      <c r="U52" s="857">
        <f t="shared" si="27"/>
        <v>0</v>
      </c>
      <c r="V52" s="857">
        <f t="shared" si="28"/>
        <v>49.142000000000003</v>
      </c>
      <c r="X52" s="251"/>
      <c r="Y52" s="251"/>
      <c r="Z52" s="251"/>
      <c r="AA52" s="251"/>
      <c r="AB52" s="251"/>
    </row>
    <row r="53" spans="17:28" x14ac:dyDescent="0.2">
      <c r="Q53" s="250"/>
      <c r="R53" s="210">
        <v>2005</v>
      </c>
      <c r="S53" s="857">
        <f t="shared" si="25"/>
        <v>117.43026999999999</v>
      </c>
      <c r="T53" s="857">
        <f t="shared" si="26"/>
        <v>53.766709999999996</v>
      </c>
      <c r="U53" s="857">
        <f t="shared" si="27"/>
        <v>0</v>
      </c>
      <c r="V53" s="857">
        <f t="shared" si="28"/>
        <v>63.663559999999997</v>
      </c>
      <c r="X53" s="251"/>
      <c r="Y53" s="251"/>
      <c r="Z53" s="251"/>
      <c r="AA53" s="251"/>
      <c r="AB53" s="251"/>
    </row>
    <row r="54" spans="17:28" x14ac:dyDescent="0.2">
      <c r="Q54" s="250"/>
      <c r="R54" s="210">
        <v>2006</v>
      </c>
      <c r="S54" s="857">
        <f t="shared" si="25"/>
        <v>95.745000000000005</v>
      </c>
      <c r="T54" s="857">
        <f t="shared" si="26"/>
        <v>29.198</v>
      </c>
      <c r="U54" s="857">
        <f t="shared" si="27"/>
        <v>0</v>
      </c>
      <c r="V54" s="857">
        <f t="shared" si="28"/>
        <v>66.546999999999997</v>
      </c>
      <c r="X54" s="251"/>
      <c r="Y54" s="251"/>
      <c r="Z54" s="251"/>
      <c r="AA54" s="251"/>
      <c r="AB54" s="251"/>
    </row>
    <row r="55" spans="17:28" x14ac:dyDescent="0.2">
      <c r="Q55" s="250"/>
      <c r="R55" s="210">
        <v>2007</v>
      </c>
      <c r="S55" s="857">
        <f t="shared" si="25"/>
        <v>139.72556</v>
      </c>
      <c r="T55" s="857">
        <f t="shared" si="26"/>
        <v>73.499299999999991</v>
      </c>
      <c r="U55" s="857">
        <f t="shared" si="27"/>
        <v>0</v>
      </c>
      <c r="V55" s="857">
        <f t="shared" si="28"/>
        <v>66.226260000000011</v>
      </c>
      <c r="X55" s="251"/>
      <c r="Y55" s="251"/>
      <c r="Z55" s="251"/>
      <c r="AA55" s="251"/>
      <c r="AB55" s="251"/>
    </row>
    <row r="56" spans="17:28" x14ac:dyDescent="0.2">
      <c r="Q56" s="250"/>
      <c r="R56" s="210">
        <v>2008</v>
      </c>
      <c r="S56" s="857">
        <f t="shared" si="25"/>
        <v>128.88</v>
      </c>
      <c r="T56" s="857">
        <f t="shared" si="26"/>
        <v>26.5</v>
      </c>
      <c r="U56" s="857">
        <f t="shared" si="27"/>
        <v>0</v>
      </c>
      <c r="V56" s="857">
        <f t="shared" si="28"/>
        <v>102.38</v>
      </c>
      <c r="X56" s="251"/>
      <c r="Y56" s="251"/>
      <c r="Z56" s="251"/>
      <c r="AA56" s="251"/>
      <c r="AB56" s="251"/>
    </row>
    <row r="57" spans="17:28" x14ac:dyDescent="0.2">
      <c r="Q57" s="250"/>
      <c r="R57" s="210">
        <v>2009</v>
      </c>
      <c r="S57" s="857">
        <f t="shared" si="25"/>
        <v>250.28899999999999</v>
      </c>
      <c r="T57" s="857">
        <f t="shared" si="26"/>
        <v>88.849000000000004</v>
      </c>
      <c r="U57" s="857">
        <f t="shared" si="27"/>
        <v>0</v>
      </c>
      <c r="V57" s="857">
        <f t="shared" si="28"/>
        <v>161.44</v>
      </c>
      <c r="X57" s="251"/>
      <c r="Y57" s="251"/>
      <c r="Z57" s="251"/>
      <c r="AA57" s="251"/>
      <c r="AB57" s="251"/>
    </row>
    <row r="58" spans="17:28" x14ac:dyDescent="0.2">
      <c r="Q58" s="250"/>
      <c r="R58" s="210">
        <v>2010</v>
      </c>
      <c r="S58" s="857">
        <f t="shared" si="25"/>
        <v>165.61058222614841</v>
      </c>
      <c r="T58" s="857">
        <f t="shared" si="26"/>
        <v>25.113882226148409</v>
      </c>
      <c r="U58" s="857">
        <f t="shared" si="27"/>
        <v>0</v>
      </c>
      <c r="V58" s="857">
        <f t="shared" si="28"/>
        <v>140.4967</v>
      </c>
      <c r="X58" s="251"/>
      <c r="Y58" s="251"/>
      <c r="Z58" s="251"/>
      <c r="AA58" s="251"/>
      <c r="AB58" s="251"/>
    </row>
    <row r="59" spans="17:28" x14ac:dyDescent="0.2">
      <c r="Q59" s="250"/>
      <c r="R59" s="210">
        <v>2011</v>
      </c>
      <c r="S59" s="857">
        <f t="shared" si="25"/>
        <v>107</v>
      </c>
      <c r="T59" s="857">
        <f t="shared" si="26"/>
        <v>28.6</v>
      </c>
      <c r="U59" s="857">
        <f t="shared" si="27"/>
        <v>0</v>
      </c>
      <c r="V59" s="857">
        <f t="shared" si="28"/>
        <v>78.400000000000006</v>
      </c>
      <c r="X59" s="251"/>
      <c r="Y59" s="251"/>
      <c r="Z59" s="251"/>
      <c r="AA59" s="251"/>
      <c r="AB59" s="251"/>
    </row>
    <row r="60" spans="17:28" x14ac:dyDescent="0.2">
      <c r="Q60" s="250"/>
      <c r="R60" s="210">
        <v>2012</v>
      </c>
      <c r="S60" s="857">
        <f t="shared" si="25"/>
        <v>121.623</v>
      </c>
      <c r="T60" s="857">
        <f t="shared" si="26"/>
        <v>35.28</v>
      </c>
      <c r="U60" s="857">
        <f t="shared" si="27"/>
        <v>0</v>
      </c>
      <c r="V60" s="857">
        <f t="shared" si="28"/>
        <v>86.343000000000004</v>
      </c>
      <c r="X60" s="251"/>
      <c r="Y60" s="251"/>
      <c r="Z60" s="251"/>
      <c r="AA60" s="251"/>
      <c r="AB60" s="251"/>
    </row>
    <row r="61" spans="17:28" x14ac:dyDescent="0.2">
      <c r="Q61" s="250"/>
      <c r="R61" s="210">
        <v>2013</v>
      </c>
      <c r="S61" s="857">
        <f t="shared" si="25"/>
        <v>209.3229</v>
      </c>
      <c r="T61" s="857">
        <f t="shared" si="26"/>
        <v>65.214799999999997</v>
      </c>
      <c r="U61" s="857">
        <f t="shared" si="27"/>
        <v>0</v>
      </c>
      <c r="V61" s="857">
        <f t="shared" si="28"/>
        <v>144.10810000000001</v>
      </c>
      <c r="X61" s="251"/>
      <c r="Y61" s="251"/>
      <c r="Z61" s="251"/>
      <c r="AA61" s="251"/>
      <c r="AB61" s="251"/>
    </row>
    <row r="62" spans="17:28" x14ac:dyDescent="0.2">
      <c r="Q62" s="250"/>
      <c r="R62" s="210">
        <v>2014</v>
      </c>
      <c r="S62" s="857">
        <f>H28</f>
        <v>122.07089438088975</v>
      </c>
      <c r="T62" s="857">
        <f>I28</f>
        <v>43.02659068965518</v>
      </c>
      <c r="U62" s="857">
        <f>J28</f>
        <v>0</v>
      </c>
      <c r="V62" s="857">
        <f>K28</f>
        <v>79.044303691234575</v>
      </c>
      <c r="X62" s="251"/>
      <c r="Y62" s="251"/>
      <c r="Z62" s="251"/>
      <c r="AA62" s="251"/>
      <c r="AB62" s="251"/>
    </row>
    <row r="63" spans="17:28" x14ac:dyDescent="0.2">
      <c r="Q63" s="250"/>
      <c r="X63" s="251"/>
      <c r="Y63" s="251"/>
      <c r="Z63" s="251"/>
      <c r="AA63" s="251"/>
      <c r="AB63" s="251"/>
    </row>
    <row r="64" spans="17:28" x14ac:dyDescent="0.2">
      <c r="Q64" s="250"/>
      <c r="X64" s="251"/>
      <c r="Y64" s="251"/>
      <c r="Z64" s="251"/>
      <c r="AA64" s="251"/>
      <c r="AB64" s="251"/>
    </row>
    <row r="65" spans="3:28" x14ac:dyDescent="0.2">
      <c r="Q65" s="250"/>
      <c r="X65" s="251"/>
      <c r="Y65" s="251"/>
      <c r="Z65" s="251"/>
      <c r="AA65" s="251"/>
      <c r="AB65" s="251"/>
    </row>
    <row r="66" spans="3:28" x14ac:dyDescent="0.2">
      <c r="C66" s="247" t="s">
        <v>238</v>
      </c>
      <c r="Q66" s="250"/>
      <c r="X66" s="251"/>
      <c r="Y66" s="251"/>
      <c r="Z66" s="251"/>
      <c r="AA66" s="251"/>
      <c r="AB66" s="251"/>
    </row>
    <row r="67" spans="3:28" ht="11.25" customHeight="1" x14ac:dyDescent="0.2">
      <c r="C67" s="247" t="s">
        <v>234</v>
      </c>
      <c r="Q67" s="250"/>
      <c r="X67" s="251"/>
      <c r="Y67" s="251"/>
      <c r="Z67" s="251"/>
      <c r="AA67" s="251"/>
      <c r="AB67" s="251"/>
    </row>
    <row r="68" spans="3:28" x14ac:dyDescent="0.2">
      <c r="Q68" s="250"/>
      <c r="S68" s="861" t="s">
        <v>239</v>
      </c>
      <c r="T68" s="857" t="s">
        <v>13</v>
      </c>
      <c r="U68" s="857" t="s">
        <v>236</v>
      </c>
      <c r="V68" s="857" t="s">
        <v>237</v>
      </c>
      <c r="X68" s="251"/>
      <c r="Y68" s="251"/>
      <c r="Z68" s="251"/>
      <c r="AA68" s="251"/>
      <c r="AB68" s="251"/>
    </row>
    <row r="69" spans="3:28" x14ac:dyDescent="0.2">
      <c r="Q69" s="250"/>
      <c r="R69" s="210">
        <v>1995</v>
      </c>
      <c r="S69" s="857">
        <f t="shared" ref="S69:V72" si="29">L8</f>
        <v>66.165630000000007</v>
      </c>
      <c r="T69" s="857">
        <f t="shared" si="29"/>
        <v>7.6486299999999998</v>
      </c>
      <c r="U69" s="857">
        <f t="shared" si="29"/>
        <v>0</v>
      </c>
      <c r="V69" s="857">
        <f t="shared" si="29"/>
        <v>58.517000000000003</v>
      </c>
      <c r="X69" s="251"/>
      <c r="Y69" s="251"/>
      <c r="Z69" s="251"/>
      <c r="AA69" s="251"/>
      <c r="AB69" s="251"/>
    </row>
    <row r="70" spans="3:28" x14ac:dyDescent="0.2">
      <c r="Q70" s="250"/>
      <c r="R70" s="210">
        <v>1996</v>
      </c>
      <c r="S70" s="857">
        <f t="shared" si="29"/>
        <v>195.92117000000002</v>
      </c>
      <c r="T70" s="857">
        <f t="shared" si="29"/>
        <v>97.751460000000009</v>
      </c>
      <c r="U70" s="857">
        <f t="shared" si="29"/>
        <v>0</v>
      </c>
      <c r="V70" s="857">
        <f t="shared" si="29"/>
        <v>98.169710000000009</v>
      </c>
      <c r="X70" s="251"/>
      <c r="Y70" s="251"/>
      <c r="Z70" s="251"/>
      <c r="AA70" s="251"/>
      <c r="AB70" s="251"/>
    </row>
    <row r="71" spans="3:28" x14ac:dyDescent="0.2">
      <c r="Q71" s="250"/>
      <c r="R71" s="210">
        <v>1997</v>
      </c>
      <c r="S71" s="857">
        <f t="shared" si="29"/>
        <v>339.73591500000003</v>
      </c>
      <c r="T71" s="857">
        <f t="shared" si="29"/>
        <v>240.20695500000002</v>
      </c>
      <c r="U71" s="857">
        <f t="shared" si="29"/>
        <v>0</v>
      </c>
      <c r="V71" s="857">
        <f t="shared" si="29"/>
        <v>99.528960000000012</v>
      </c>
      <c r="X71" s="251"/>
      <c r="Y71" s="251"/>
      <c r="Z71" s="251"/>
      <c r="AA71" s="251"/>
      <c r="AB71" s="251"/>
    </row>
    <row r="72" spans="3:28" x14ac:dyDescent="0.2">
      <c r="Q72" s="250"/>
      <c r="R72" s="210">
        <v>1998</v>
      </c>
      <c r="S72" s="857">
        <f t="shared" si="29"/>
        <v>358.72008800000003</v>
      </c>
      <c r="T72" s="857">
        <f t="shared" si="29"/>
        <v>250.824128</v>
      </c>
      <c r="U72" s="857">
        <f t="shared" si="29"/>
        <v>13.488</v>
      </c>
      <c r="V72" s="857">
        <f t="shared" si="29"/>
        <v>94.407960000000003</v>
      </c>
      <c r="X72" s="251"/>
      <c r="Y72" s="251"/>
      <c r="Z72" s="251"/>
      <c r="AA72" s="251"/>
      <c r="AB72" s="251"/>
    </row>
    <row r="73" spans="3:28" x14ac:dyDescent="0.2">
      <c r="Q73" s="250"/>
      <c r="S73" s="857"/>
      <c r="T73" s="857"/>
      <c r="U73" s="857"/>
      <c r="V73" s="857"/>
      <c r="X73" s="251"/>
      <c r="Y73" s="251"/>
      <c r="Z73" s="251"/>
      <c r="AA73" s="251"/>
      <c r="AB73" s="251"/>
    </row>
    <row r="74" spans="3:28" x14ac:dyDescent="0.2">
      <c r="Q74" s="250"/>
      <c r="R74" s="210">
        <v>1999</v>
      </c>
      <c r="S74" s="857">
        <f t="shared" ref="S74:S90" si="30">L12</f>
        <v>507.81466899999998</v>
      </c>
      <c r="T74" s="857">
        <f t="shared" ref="T74:T90" si="31">M12</f>
        <v>280.900419</v>
      </c>
      <c r="U74" s="857">
        <f t="shared" ref="U74:U90" si="32">N12</f>
        <v>139.48872</v>
      </c>
      <c r="V74" s="857">
        <f t="shared" ref="V74:V90" si="33">O12</f>
        <v>87.425529999999995</v>
      </c>
      <c r="X74" s="251"/>
      <c r="Y74" s="251"/>
      <c r="Z74" s="251"/>
      <c r="AA74" s="251"/>
      <c r="AB74" s="251"/>
    </row>
    <row r="75" spans="3:28" x14ac:dyDescent="0.2">
      <c r="Q75" s="250"/>
      <c r="R75" s="210">
        <v>2000</v>
      </c>
      <c r="S75" s="857">
        <f t="shared" si="30"/>
        <v>439.80900000000003</v>
      </c>
      <c r="T75" s="857">
        <f t="shared" si="31"/>
        <v>214.44200000000001</v>
      </c>
      <c r="U75" s="857">
        <f t="shared" si="32"/>
        <v>102.249</v>
      </c>
      <c r="V75" s="857">
        <f t="shared" si="33"/>
        <v>123.11799999999999</v>
      </c>
      <c r="X75" s="251"/>
      <c r="Y75" s="251"/>
      <c r="Z75" s="251"/>
      <c r="AA75" s="251"/>
      <c r="AB75" s="251"/>
    </row>
    <row r="76" spans="3:28" x14ac:dyDescent="0.2">
      <c r="Q76" s="250"/>
      <c r="R76" s="210">
        <v>2001</v>
      </c>
      <c r="S76" s="857">
        <f t="shared" si="30"/>
        <v>210.83829</v>
      </c>
      <c r="T76" s="857">
        <f t="shared" si="31"/>
        <v>33.495100000000001</v>
      </c>
      <c r="U76" s="857">
        <f t="shared" si="32"/>
        <v>58.627000000000002</v>
      </c>
      <c r="V76" s="857">
        <f t="shared" si="33"/>
        <v>118.71619</v>
      </c>
      <c r="X76" s="251"/>
      <c r="Y76" s="251"/>
      <c r="Z76" s="251"/>
      <c r="AA76" s="251"/>
      <c r="AB76" s="251"/>
    </row>
    <row r="77" spans="3:28" x14ac:dyDescent="0.2">
      <c r="Q77" s="250"/>
      <c r="R77" s="210">
        <v>2002</v>
      </c>
      <c r="S77" s="857">
        <f t="shared" si="30"/>
        <v>132.34300000000002</v>
      </c>
      <c r="T77" s="857">
        <f t="shared" si="31"/>
        <v>30.042000000000002</v>
      </c>
      <c r="U77" s="857">
        <f t="shared" si="32"/>
        <v>37.28</v>
      </c>
      <c r="V77" s="857">
        <f t="shared" si="33"/>
        <v>65.021000000000001</v>
      </c>
      <c r="X77" s="251"/>
      <c r="Y77" s="251"/>
      <c r="Z77" s="251"/>
      <c r="AA77" s="251"/>
      <c r="AB77" s="251"/>
    </row>
    <row r="78" spans="3:28" x14ac:dyDescent="0.2">
      <c r="Q78" s="250"/>
      <c r="R78" s="210">
        <v>2003</v>
      </c>
      <c r="S78" s="857">
        <f t="shared" si="30"/>
        <v>81.125</v>
      </c>
      <c r="T78" s="857">
        <f t="shared" si="31"/>
        <v>20.059999999999999</v>
      </c>
      <c r="U78" s="857">
        <f t="shared" si="32"/>
        <v>12.826000000000001</v>
      </c>
      <c r="V78" s="857">
        <f t="shared" si="33"/>
        <v>48.238999999999997</v>
      </c>
      <c r="X78" s="251"/>
      <c r="Y78" s="251"/>
      <c r="Z78" s="251"/>
      <c r="AA78" s="251"/>
      <c r="AB78" s="251"/>
    </row>
    <row r="79" spans="3:28" x14ac:dyDescent="0.2">
      <c r="Q79" s="250"/>
      <c r="R79" s="210">
        <v>2004</v>
      </c>
      <c r="S79" s="857">
        <f t="shared" si="30"/>
        <v>168.55199999999999</v>
      </c>
      <c r="T79" s="857">
        <f t="shared" si="31"/>
        <v>92.564999999999998</v>
      </c>
      <c r="U79" s="857">
        <f t="shared" si="32"/>
        <v>24.366</v>
      </c>
      <c r="V79" s="857">
        <f t="shared" si="33"/>
        <v>51.621000000000002</v>
      </c>
      <c r="X79" s="251"/>
      <c r="Y79" s="251"/>
      <c r="Z79" s="251"/>
      <c r="AA79" s="251"/>
      <c r="AB79" s="251"/>
    </row>
    <row r="80" spans="3:28" x14ac:dyDescent="0.2">
      <c r="Q80" s="250"/>
      <c r="R80" s="210">
        <v>2005</v>
      </c>
      <c r="S80" s="857">
        <f t="shared" si="30"/>
        <v>231.06162000000003</v>
      </c>
      <c r="T80" s="857">
        <f t="shared" si="31"/>
        <v>139.72464000000002</v>
      </c>
      <c r="U80" s="857">
        <f t="shared" si="32"/>
        <v>20.633900000000001</v>
      </c>
      <c r="V80" s="857">
        <f t="shared" si="33"/>
        <v>70.70308</v>
      </c>
      <c r="X80" s="251"/>
      <c r="Y80" s="251"/>
      <c r="Z80" s="251"/>
      <c r="AA80" s="251"/>
      <c r="AB80" s="251"/>
    </row>
    <row r="81" spans="17:28" x14ac:dyDescent="0.2">
      <c r="Q81" s="250"/>
      <c r="R81" s="210">
        <v>2006</v>
      </c>
      <c r="S81" s="857">
        <f t="shared" si="30"/>
        <v>350.459</v>
      </c>
      <c r="T81" s="857">
        <f t="shared" si="31"/>
        <v>260.37700000000001</v>
      </c>
      <c r="U81" s="857">
        <f t="shared" si="32"/>
        <v>16.542999999999999</v>
      </c>
      <c r="V81" s="857">
        <f t="shared" si="33"/>
        <v>73.539000000000001</v>
      </c>
      <c r="X81" s="251"/>
      <c r="Y81" s="251"/>
      <c r="Z81" s="251"/>
      <c r="AA81" s="251"/>
      <c r="AB81" s="251"/>
    </row>
    <row r="82" spans="17:28" x14ac:dyDescent="0.2">
      <c r="Q82" s="250"/>
      <c r="R82" s="210">
        <v>2007</v>
      </c>
      <c r="S82" s="857">
        <f t="shared" si="30"/>
        <v>399.34757000000002</v>
      </c>
      <c r="T82" s="857">
        <f t="shared" si="31"/>
        <v>244.53100000000001</v>
      </c>
      <c r="U82" s="857">
        <f t="shared" si="32"/>
        <v>69.635899999999992</v>
      </c>
      <c r="V82" s="857">
        <f t="shared" si="33"/>
        <v>85.180669999999992</v>
      </c>
      <c r="X82" s="251"/>
      <c r="Y82" s="251"/>
      <c r="Z82" s="251"/>
      <c r="AA82" s="251"/>
      <c r="AB82" s="251"/>
    </row>
    <row r="83" spans="17:28" x14ac:dyDescent="0.2">
      <c r="Q83" s="250"/>
      <c r="R83" s="210">
        <v>2008</v>
      </c>
      <c r="S83" s="857">
        <f t="shared" si="30"/>
        <v>633.64</v>
      </c>
      <c r="T83" s="857">
        <f t="shared" si="31"/>
        <v>457.01</v>
      </c>
      <c r="U83" s="857">
        <f t="shared" si="32"/>
        <v>43.1</v>
      </c>
      <c r="V83" s="857">
        <f t="shared" si="33"/>
        <v>133.53</v>
      </c>
      <c r="X83" s="251"/>
      <c r="Y83" s="251"/>
      <c r="Z83" s="251"/>
      <c r="AA83" s="251"/>
      <c r="AB83" s="251"/>
    </row>
    <row r="84" spans="17:28" x14ac:dyDescent="0.2">
      <c r="Q84" s="250"/>
      <c r="R84" s="210">
        <v>2009</v>
      </c>
      <c r="S84" s="857">
        <f t="shared" si="30"/>
        <v>741.83071999999993</v>
      </c>
      <c r="T84" s="857">
        <f t="shared" si="31"/>
        <v>359.53429999999997</v>
      </c>
      <c r="U84" s="857">
        <f t="shared" si="32"/>
        <v>254.363</v>
      </c>
      <c r="V84" s="857">
        <f t="shared" si="33"/>
        <v>127.93342</v>
      </c>
      <c r="X84" s="251"/>
      <c r="Y84" s="251"/>
      <c r="Z84" s="251"/>
      <c r="AA84" s="251"/>
      <c r="AB84" s="251"/>
    </row>
    <row r="85" spans="17:28" x14ac:dyDescent="0.2">
      <c r="Q85" s="250"/>
      <c r="R85" s="210">
        <v>2010</v>
      </c>
      <c r="S85" s="857">
        <f t="shared" si="30"/>
        <v>978.75120000000004</v>
      </c>
      <c r="T85" s="857">
        <f t="shared" si="31"/>
        <v>533.51949999999999</v>
      </c>
      <c r="U85" s="857">
        <f t="shared" si="32"/>
        <v>332.55720000000002</v>
      </c>
      <c r="V85" s="857">
        <f t="shared" si="33"/>
        <v>112.67449999999999</v>
      </c>
      <c r="X85" s="251"/>
      <c r="Y85" s="251"/>
      <c r="Z85" s="251"/>
      <c r="AA85" s="251"/>
      <c r="AB85" s="251"/>
    </row>
    <row r="86" spans="17:28" x14ac:dyDescent="0.2">
      <c r="Q86" s="250"/>
      <c r="R86" s="210">
        <v>2011</v>
      </c>
      <c r="S86" s="857">
        <f t="shared" si="30"/>
        <v>1641.7</v>
      </c>
      <c r="T86" s="857">
        <f t="shared" si="31"/>
        <v>1212.2</v>
      </c>
      <c r="U86" s="857">
        <f t="shared" si="32"/>
        <v>278.5</v>
      </c>
      <c r="V86" s="857">
        <f t="shared" si="33"/>
        <v>151</v>
      </c>
      <c r="X86" s="251"/>
      <c r="Y86" s="251"/>
      <c r="Z86" s="251"/>
      <c r="AA86" s="251"/>
      <c r="AB86" s="251"/>
    </row>
    <row r="87" spans="17:28" x14ac:dyDescent="0.2">
      <c r="Q87" s="250"/>
      <c r="R87" s="210">
        <v>2012</v>
      </c>
      <c r="S87" s="857">
        <f t="shared" si="30"/>
        <v>2467.42086045</v>
      </c>
      <c r="T87" s="857">
        <f t="shared" si="31"/>
        <v>1746.1296604500001</v>
      </c>
      <c r="U87" s="857">
        <f t="shared" si="32"/>
        <v>470.27</v>
      </c>
      <c r="V87" s="857">
        <f t="shared" si="33"/>
        <v>251.02120000000002</v>
      </c>
      <c r="X87" s="251"/>
      <c r="Y87" s="251"/>
      <c r="Z87" s="251"/>
      <c r="AA87" s="251"/>
      <c r="AB87" s="251"/>
    </row>
    <row r="88" spans="17:28" x14ac:dyDescent="0.2">
      <c r="Q88" s="250"/>
      <c r="R88" s="210">
        <v>2013</v>
      </c>
      <c r="S88" s="857">
        <f t="shared" si="30"/>
        <v>2230.2925</v>
      </c>
      <c r="T88" s="857">
        <f t="shared" si="31"/>
        <v>1764.6187</v>
      </c>
      <c r="U88" s="857">
        <f t="shared" si="32"/>
        <v>188.4134</v>
      </c>
      <c r="V88" s="857">
        <f t="shared" si="33"/>
        <v>277.2604</v>
      </c>
      <c r="X88" s="251"/>
      <c r="Y88" s="251"/>
      <c r="Z88" s="251"/>
      <c r="AA88" s="251"/>
      <c r="AB88" s="251"/>
    </row>
    <row r="89" spans="17:28" x14ac:dyDescent="0.2">
      <c r="Q89" s="250"/>
      <c r="R89" s="210">
        <v>2014</v>
      </c>
      <c r="S89" s="857">
        <f t="shared" si="30"/>
        <v>2488.2811065848164</v>
      </c>
      <c r="T89" s="857">
        <f t="shared" si="31"/>
        <v>1959.2143847048167</v>
      </c>
      <c r="U89" s="857">
        <f t="shared" si="32"/>
        <v>244.01244188000001</v>
      </c>
      <c r="V89" s="857">
        <f t="shared" si="33"/>
        <v>285.05427999999995</v>
      </c>
      <c r="X89" s="251"/>
      <c r="Y89" s="251"/>
      <c r="Z89" s="251"/>
      <c r="AA89" s="251"/>
      <c r="AB89" s="251"/>
    </row>
    <row r="90" spans="17:28" x14ac:dyDescent="0.2">
      <c r="Q90" s="250"/>
      <c r="R90" s="210">
        <v>2015</v>
      </c>
      <c r="S90" s="857">
        <f t="shared" si="30"/>
        <v>2364.2373654698185</v>
      </c>
      <c r="T90" s="857">
        <f t="shared" si="31"/>
        <v>1730.862904511961</v>
      </c>
      <c r="U90" s="857">
        <f t="shared" si="32"/>
        <v>354.97169140999995</v>
      </c>
      <c r="V90" s="857">
        <f t="shared" si="33"/>
        <v>278.40276954785742</v>
      </c>
      <c r="X90" s="251"/>
      <c r="Y90" s="251"/>
      <c r="Z90" s="251"/>
      <c r="AA90" s="251"/>
      <c r="AB90" s="251"/>
    </row>
    <row r="91" spans="17:28" x14ac:dyDescent="0.2">
      <c r="Q91" s="250"/>
      <c r="X91" s="251"/>
      <c r="Y91" s="251"/>
      <c r="Z91" s="251"/>
      <c r="AA91" s="251"/>
      <c r="AB91" s="251"/>
    </row>
    <row r="92" spans="17:28" x14ac:dyDescent="0.2">
      <c r="Q92" s="250"/>
      <c r="X92" s="251"/>
      <c r="Y92" s="251"/>
      <c r="Z92" s="251"/>
      <c r="AA92" s="251"/>
      <c r="AB92" s="251"/>
    </row>
    <row r="93" spans="17:28" x14ac:dyDescent="0.2">
      <c r="Q93" s="250"/>
      <c r="X93" s="251"/>
      <c r="Y93" s="251"/>
      <c r="Z93" s="251"/>
      <c r="AA93" s="251"/>
      <c r="AB93" s="251"/>
    </row>
    <row r="94" spans="17:28" x14ac:dyDescent="0.2">
      <c r="Q94" s="250"/>
      <c r="X94" s="251"/>
      <c r="Y94" s="251"/>
      <c r="Z94" s="251"/>
      <c r="AA94" s="251"/>
      <c r="AB94" s="251"/>
    </row>
    <row r="95" spans="17:28" x14ac:dyDescent="0.2">
      <c r="Q95" s="250"/>
      <c r="X95" s="251"/>
      <c r="Y95" s="251"/>
      <c r="Z95" s="251"/>
      <c r="AA95" s="251"/>
      <c r="AB95" s="251"/>
    </row>
    <row r="96" spans="17:28" x14ac:dyDescent="0.2">
      <c r="Q96" s="250"/>
      <c r="X96" s="251"/>
      <c r="Y96" s="251"/>
      <c r="Z96" s="251"/>
      <c r="AA96" s="251"/>
      <c r="AB96" s="251"/>
    </row>
    <row r="97" spans="17:28" x14ac:dyDescent="0.2">
      <c r="Q97" s="250"/>
      <c r="S97" s="857" t="s">
        <v>11</v>
      </c>
      <c r="T97" s="857" t="s">
        <v>66</v>
      </c>
      <c r="U97" s="857" t="s">
        <v>10</v>
      </c>
      <c r="V97" s="857" t="s">
        <v>240</v>
      </c>
      <c r="X97" s="251"/>
      <c r="Y97" s="251"/>
      <c r="Z97" s="251"/>
      <c r="AA97" s="251"/>
      <c r="AB97" s="251"/>
    </row>
    <row r="98" spans="17:28" x14ac:dyDescent="0.2">
      <c r="Q98" s="250"/>
      <c r="R98" s="585">
        <v>1995</v>
      </c>
      <c r="S98" s="862">
        <f t="shared" ref="S98:S120" si="34">E8</f>
        <v>46.066738999999991</v>
      </c>
      <c r="T98" s="862">
        <f t="shared" ref="T98:T121" si="35">F8</f>
        <v>11.412649999999999</v>
      </c>
      <c r="U98" s="862">
        <f t="shared" ref="U98:U121" si="36">G8</f>
        <v>163.39924000000002</v>
      </c>
      <c r="V98" s="862">
        <f t="shared" ref="V98:V121" si="37">P8</f>
        <v>74.287999999999997</v>
      </c>
      <c r="X98" s="251"/>
      <c r="Y98" s="251"/>
      <c r="Z98" s="251"/>
      <c r="AA98" s="251"/>
      <c r="AB98" s="251"/>
    </row>
    <row r="99" spans="17:28" x14ac:dyDescent="0.2">
      <c r="Q99" s="250"/>
      <c r="R99" s="585">
        <v>1996</v>
      </c>
      <c r="S99" s="862">
        <f t="shared" si="34"/>
        <v>163.01889699999998</v>
      </c>
      <c r="T99" s="862">
        <f t="shared" si="35"/>
        <v>16.600999999999999</v>
      </c>
      <c r="U99" s="862">
        <f t="shared" si="36"/>
        <v>193.27748000000003</v>
      </c>
      <c r="V99" s="862">
        <f t="shared" si="37"/>
        <v>135.94999999999999</v>
      </c>
      <c r="X99" s="251"/>
      <c r="Y99" s="251"/>
      <c r="Z99" s="251"/>
      <c r="AA99" s="251"/>
      <c r="AB99" s="251"/>
    </row>
    <row r="100" spans="17:28" x14ac:dyDescent="0.2">
      <c r="Q100" s="250"/>
      <c r="R100" s="585">
        <v>1997</v>
      </c>
      <c r="S100" s="862">
        <f t="shared" si="34"/>
        <v>343.44413100000003</v>
      </c>
      <c r="T100" s="862">
        <f t="shared" si="35"/>
        <v>32.720779999999998</v>
      </c>
      <c r="U100" s="862">
        <f t="shared" si="36"/>
        <v>171.46097</v>
      </c>
      <c r="V100" s="862">
        <f t="shared" si="37"/>
        <v>46.558</v>
      </c>
      <c r="X100" s="251"/>
      <c r="Y100" s="251"/>
      <c r="Z100" s="251"/>
      <c r="AA100" s="251"/>
      <c r="AB100" s="251"/>
    </row>
    <row r="101" spans="17:28" x14ac:dyDescent="0.2">
      <c r="Q101" s="250"/>
      <c r="R101" s="585">
        <v>1998</v>
      </c>
      <c r="S101" s="862">
        <f t="shared" si="34"/>
        <v>365.36324100000002</v>
      </c>
      <c r="T101" s="862">
        <f t="shared" si="35"/>
        <v>59.643269999999994</v>
      </c>
      <c r="U101" s="862">
        <f t="shared" si="36"/>
        <v>136.50492</v>
      </c>
      <c r="V101" s="862">
        <f t="shared" si="37"/>
        <v>51.488</v>
      </c>
      <c r="X101" s="251"/>
      <c r="Y101" s="251"/>
      <c r="Z101" s="251"/>
      <c r="AA101" s="251"/>
      <c r="AB101" s="251"/>
    </row>
    <row r="102" spans="17:28" x14ac:dyDescent="0.2">
      <c r="Q102" s="250"/>
      <c r="R102" s="585">
        <v>1999</v>
      </c>
      <c r="S102" s="862">
        <f t="shared" si="34"/>
        <v>417.232328</v>
      </c>
      <c r="T102" s="862">
        <f t="shared" si="35"/>
        <v>170.80662000000001</v>
      </c>
      <c r="U102" s="862">
        <f t="shared" si="36"/>
        <v>121.50028001183432</v>
      </c>
      <c r="V102" s="862">
        <f t="shared" si="37"/>
        <v>54.64</v>
      </c>
      <c r="X102" s="251"/>
      <c r="Y102" s="251"/>
      <c r="Z102" s="251"/>
      <c r="AA102" s="251"/>
      <c r="AB102" s="251"/>
    </row>
    <row r="103" spans="17:28" x14ac:dyDescent="0.2">
      <c r="Q103" s="250"/>
      <c r="R103" s="863">
        <v>2000</v>
      </c>
      <c r="S103" s="862">
        <f t="shared" si="34"/>
        <v>337.65800000000002</v>
      </c>
      <c r="T103" s="862">
        <f t="shared" si="35"/>
        <v>128.93899999999999</v>
      </c>
      <c r="U103" s="862">
        <f t="shared" si="36"/>
        <v>139.20599999999999</v>
      </c>
      <c r="V103" s="862">
        <f t="shared" si="37"/>
        <v>53.411000000000001</v>
      </c>
      <c r="X103" s="251"/>
      <c r="Y103" s="251"/>
      <c r="Z103" s="251"/>
      <c r="AA103" s="251"/>
      <c r="AB103" s="251"/>
    </row>
    <row r="104" spans="17:28" x14ac:dyDescent="0.2">
      <c r="Q104" s="250"/>
      <c r="R104" s="863">
        <v>2001</v>
      </c>
      <c r="S104" s="862">
        <f t="shared" si="34"/>
        <v>109.77217999999999</v>
      </c>
      <c r="T104" s="862">
        <f t="shared" si="35"/>
        <v>61.743000000000002</v>
      </c>
      <c r="U104" s="862">
        <f t="shared" si="36"/>
        <v>134.38179</v>
      </c>
      <c r="V104" s="862">
        <f t="shared" si="37"/>
        <v>45.167000000000002</v>
      </c>
      <c r="X104" s="251"/>
      <c r="Y104" s="251"/>
      <c r="Z104" s="251"/>
      <c r="AA104" s="251"/>
      <c r="AB104" s="251"/>
    </row>
    <row r="105" spans="17:28" x14ac:dyDescent="0.2">
      <c r="Q105" s="250"/>
      <c r="R105" s="863">
        <v>2002</v>
      </c>
      <c r="S105" s="862">
        <f t="shared" si="34"/>
        <v>107.84</v>
      </c>
      <c r="T105" s="862">
        <f t="shared" si="35"/>
        <v>37.657000000000004</v>
      </c>
      <c r="U105" s="862">
        <f t="shared" si="36"/>
        <v>96.701999999999998</v>
      </c>
      <c r="V105" s="862">
        <f t="shared" si="37"/>
        <v>17.329999999999998</v>
      </c>
      <c r="X105" s="251"/>
      <c r="Y105" s="251"/>
      <c r="Z105" s="251"/>
      <c r="AA105" s="251"/>
      <c r="AB105" s="251"/>
    </row>
    <row r="106" spans="17:28" x14ac:dyDescent="0.2">
      <c r="Q106" s="250"/>
      <c r="R106" s="863">
        <v>2003</v>
      </c>
      <c r="S106" s="862">
        <f t="shared" si="34"/>
        <v>87.165000000000006</v>
      </c>
      <c r="T106" s="862">
        <f t="shared" si="35"/>
        <v>12.826000000000001</v>
      </c>
      <c r="U106" s="862">
        <f t="shared" si="36"/>
        <v>91.965999999999994</v>
      </c>
      <c r="V106" s="862">
        <f t="shared" si="37"/>
        <v>43.427999999999997</v>
      </c>
      <c r="X106" s="251"/>
      <c r="Y106" s="251"/>
      <c r="Z106" s="251"/>
      <c r="AA106" s="251"/>
      <c r="AB106" s="251"/>
    </row>
    <row r="107" spans="17:28" x14ac:dyDescent="0.2">
      <c r="Q107" s="250"/>
      <c r="R107" s="863">
        <v>2004</v>
      </c>
      <c r="S107" s="862">
        <f t="shared" si="34"/>
        <v>159.566</v>
      </c>
      <c r="T107" s="862">
        <f t="shared" si="35"/>
        <v>24.366</v>
      </c>
      <c r="U107" s="862">
        <f t="shared" si="36"/>
        <v>100.76300000000001</v>
      </c>
      <c r="V107" s="862">
        <f t="shared" si="37"/>
        <v>39.078000000000003</v>
      </c>
      <c r="X107" s="251"/>
      <c r="Y107" s="251"/>
      <c r="Z107" s="251"/>
      <c r="AA107" s="251"/>
      <c r="AB107" s="251"/>
    </row>
    <row r="108" spans="17:28" x14ac:dyDescent="0.2">
      <c r="Q108" s="250"/>
      <c r="R108" s="863">
        <v>2005</v>
      </c>
      <c r="S108" s="862">
        <f t="shared" si="34"/>
        <v>193.49135000000001</v>
      </c>
      <c r="T108" s="862">
        <f t="shared" si="35"/>
        <v>20.633900000000001</v>
      </c>
      <c r="U108" s="862">
        <f t="shared" si="36"/>
        <v>134.36663999999999</v>
      </c>
      <c r="V108" s="862">
        <f t="shared" si="37"/>
        <v>45.244</v>
      </c>
      <c r="X108" s="251"/>
      <c r="Y108" s="251"/>
      <c r="Z108" s="251"/>
      <c r="AA108" s="251"/>
      <c r="AB108" s="251"/>
    </row>
    <row r="109" spans="17:28" x14ac:dyDescent="0.2">
      <c r="Q109" s="250"/>
      <c r="R109" s="863">
        <v>2006</v>
      </c>
      <c r="S109" s="862">
        <f t="shared" si="34"/>
        <v>289.57499999999999</v>
      </c>
      <c r="T109" s="862">
        <f t="shared" si="35"/>
        <v>16.542999999999999</v>
      </c>
      <c r="U109" s="862">
        <f t="shared" si="36"/>
        <v>140.08600000000001</v>
      </c>
      <c r="V109" s="862">
        <f t="shared" si="37"/>
        <v>33.953000000000003</v>
      </c>
      <c r="X109" s="251"/>
      <c r="Y109" s="251"/>
      <c r="Z109" s="251"/>
      <c r="AA109" s="251"/>
      <c r="AB109" s="251"/>
    </row>
    <row r="110" spans="17:28" x14ac:dyDescent="0.2">
      <c r="Q110" s="250"/>
      <c r="R110" s="863">
        <v>2007</v>
      </c>
      <c r="S110" s="862">
        <f t="shared" si="34"/>
        <v>318.03030000000001</v>
      </c>
      <c r="T110" s="862">
        <f t="shared" si="35"/>
        <v>69.635899999999992</v>
      </c>
      <c r="U110" s="862">
        <f t="shared" si="36"/>
        <v>151.40692999999999</v>
      </c>
      <c r="V110" s="862">
        <f t="shared" si="37"/>
        <v>89.927000000000007</v>
      </c>
      <c r="X110" s="251"/>
      <c r="Y110" s="251"/>
      <c r="Z110" s="251"/>
      <c r="AA110" s="251"/>
      <c r="AB110" s="251"/>
    </row>
    <row r="111" spans="17:28" x14ac:dyDescent="0.2">
      <c r="Q111" s="250"/>
      <c r="R111" s="863">
        <v>2008</v>
      </c>
      <c r="S111" s="862">
        <f t="shared" si="34"/>
        <v>483.51</v>
      </c>
      <c r="T111" s="862">
        <f t="shared" si="35"/>
        <v>43.1</v>
      </c>
      <c r="U111" s="862">
        <f t="shared" si="36"/>
        <v>235.91</v>
      </c>
      <c r="V111" s="862">
        <f t="shared" si="37"/>
        <v>99.486999999999995</v>
      </c>
      <c r="X111" s="251"/>
      <c r="Y111" s="251"/>
      <c r="Z111" s="251"/>
      <c r="AA111" s="251"/>
      <c r="AB111" s="251"/>
    </row>
    <row r="112" spans="17:28" x14ac:dyDescent="0.2">
      <c r="Q112" s="250"/>
      <c r="R112" s="863">
        <v>2009</v>
      </c>
      <c r="S112" s="862">
        <f t="shared" si="34"/>
        <v>448.38329999999996</v>
      </c>
      <c r="T112" s="862">
        <f t="shared" si="35"/>
        <v>254.363</v>
      </c>
      <c r="U112" s="862">
        <f t="shared" si="36"/>
        <v>289.37342000000001</v>
      </c>
      <c r="V112" s="862">
        <f t="shared" si="37"/>
        <v>184.72200000000001</v>
      </c>
      <c r="X112" s="251"/>
      <c r="Y112" s="251"/>
      <c r="Z112" s="251"/>
      <c r="AA112" s="251"/>
      <c r="AB112" s="251"/>
    </row>
    <row r="113" spans="17:28" x14ac:dyDescent="0.2">
      <c r="Q113" s="250"/>
      <c r="R113" s="585">
        <v>2010</v>
      </c>
      <c r="S113" s="862">
        <f t="shared" si="34"/>
        <v>558.63338222614846</v>
      </c>
      <c r="T113" s="862">
        <f t="shared" si="35"/>
        <v>332.55720000000002</v>
      </c>
      <c r="U113" s="862">
        <f t="shared" si="36"/>
        <v>253.1712</v>
      </c>
      <c r="V113" s="862">
        <f t="shared" si="37"/>
        <v>223.376</v>
      </c>
      <c r="X113" s="251"/>
      <c r="Y113" s="251"/>
      <c r="Z113" s="251"/>
      <c r="AA113" s="251"/>
      <c r="AB113" s="251"/>
    </row>
    <row r="114" spans="17:28" x14ac:dyDescent="0.2">
      <c r="Q114" s="250"/>
      <c r="R114" s="585">
        <v>2011</v>
      </c>
      <c r="S114" s="862">
        <f t="shared" si="34"/>
        <v>1240.8</v>
      </c>
      <c r="T114" s="862">
        <f t="shared" si="35"/>
        <v>278.5</v>
      </c>
      <c r="U114" s="862">
        <f t="shared" si="36"/>
        <v>229.4</v>
      </c>
      <c r="V114" s="862">
        <f t="shared" si="37"/>
        <v>131.30000000000001</v>
      </c>
      <c r="X114" s="251"/>
      <c r="Y114" s="251"/>
      <c r="Z114" s="251"/>
      <c r="AA114" s="251"/>
      <c r="AB114" s="251"/>
    </row>
    <row r="115" spans="17:28" x14ac:dyDescent="0.2">
      <c r="Q115" s="250"/>
      <c r="R115" s="585">
        <v>2012</v>
      </c>
      <c r="S115" s="862">
        <f t="shared" si="34"/>
        <v>1781.40966045</v>
      </c>
      <c r="T115" s="862">
        <f t="shared" si="35"/>
        <v>470.27</v>
      </c>
      <c r="U115" s="862">
        <f t="shared" si="36"/>
        <v>337.36420000000004</v>
      </c>
      <c r="V115" s="862">
        <f t="shared" si="37"/>
        <v>149.8812093018218</v>
      </c>
      <c r="X115" s="251"/>
      <c r="Y115" s="251"/>
      <c r="Z115" s="251"/>
      <c r="AA115" s="251"/>
      <c r="AB115" s="251"/>
    </row>
    <row r="116" spans="17:28" x14ac:dyDescent="0.2">
      <c r="Q116" s="250"/>
      <c r="R116" s="585">
        <v>2013</v>
      </c>
      <c r="S116" s="862">
        <f t="shared" si="34"/>
        <v>1829.8335</v>
      </c>
      <c r="T116" s="862">
        <f t="shared" si="35"/>
        <v>188.4134</v>
      </c>
      <c r="U116" s="862">
        <f t="shared" si="36"/>
        <v>421.36850000000004</v>
      </c>
      <c r="V116" s="862">
        <f t="shared" si="37"/>
        <v>149.41353189887735</v>
      </c>
      <c r="X116" s="251"/>
      <c r="Y116" s="251"/>
      <c r="Z116" s="251"/>
      <c r="AA116" s="251"/>
      <c r="AB116" s="251"/>
    </row>
    <row r="117" spans="17:28" x14ac:dyDescent="0.2">
      <c r="Q117" s="250"/>
      <c r="R117" s="585">
        <v>2014</v>
      </c>
      <c r="S117" s="862">
        <f t="shared" si="34"/>
        <v>2021.3049047048166</v>
      </c>
      <c r="T117" s="862">
        <f t="shared" si="35"/>
        <v>244.01244188000001</v>
      </c>
      <c r="U117" s="862">
        <f t="shared" si="36"/>
        <v>401.29525350396761</v>
      </c>
      <c r="V117" s="862">
        <f t="shared" si="37"/>
        <v>111.02398648648649</v>
      </c>
      <c r="X117" s="251"/>
      <c r="Y117" s="251"/>
      <c r="Z117" s="251"/>
      <c r="AA117" s="251"/>
      <c r="AB117" s="251"/>
    </row>
    <row r="118" spans="17:28" x14ac:dyDescent="0.2">
      <c r="Q118" s="250"/>
      <c r="R118" s="585">
        <v>2015</v>
      </c>
      <c r="S118" s="862">
        <f t="shared" si="34"/>
        <v>1773.8894952016162</v>
      </c>
      <c r="T118" s="862">
        <f t="shared" si="35"/>
        <v>354.97169140999995</v>
      </c>
      <c r="U118" s="862">
        <f t="shared" si="36"/>
        <v>357.44707323909199</v>
      </c>
      <c r="V118" s="862">
        <f t="shared" si="37"/>
        <v>107.14969696969698</v>
      </c>
      <c r="X118" s="251"/>
      <c r="Y118" s="251"/>
      <c r="Z118" s="251"/>
      <c r="AA118" s="251"/>
      <c r="AB118" s="251"/>
    </row>
    <row r="119" spans="17:28" x14ac:dyDescent="0.2">
      <c r="Q119" s="250"/>
      <c r="R119" s="585">
        <v>2016</v>
      </c>
      <c r="S119" s="862">
        <f t="shared" si="34"/>
        <v>965.9</v>
      </c>
      <c r="T119" s="862">
        <f t="shared" si="35"/>
        <v>398.3</v>
      </c>
      <c r="U119" s="862">
        <f t="shared" si="36"/>
        <v>364.7</v>
      </c>
      <c r="V119" s="862">
        <f t="shared" si="37"/>
        <v>69.400000000000006</v>
      </c>
      <c r="X119" s="251"/>
      <c r="Y119" s="251"/>
      <c r="Z119" s="251"/>
      <c r="AA119" s="251"/>
      <c r="AB119" s="251"/>
    </row>
    <row r="120" spans="17:28" x14ac:dyDescent="0.2">
      <c r="Q120" s="250"/>
      <c r="R120" s="585">
        <v>2017</v>
      </c>
      <c r="S120" s="862">
        <f t="shared" si="34"/>
        <v>855.91</v>
      </c>
      <c r="T120" s="862">
        <f t="shared" si="35"/>
        <v>269</v>
      </c>
      <c r="U120" s="862">
        <f t="shared" si="36"/>
        <v>292.34000000000003</v>
      </c>
      <c r="V120" s="862">
        <f t="shared" si="37"/>
        <v>101.8</v>
      </c>
      <c r="X120" s="251"/>
      <c r="Y120" s="251"/>
      <c r="Z120" s="251"/>
      <c r="AA120" s="251"/>
      <c r="AB120" s="251"/>
    </row>
    <row r="121" spans="17:28" x14ac:dyDescent="0.2">
      <c r="Q121" s="250"/>
      <c r="R121" s="585">
        <v>2018</v>
      </c>
      <c r="S121" s="862">
        <f>E31</f>
        <v>270.7029896800878</v>
      </c>
      <c r="T121" s="862">
        <f t="shared" si="35"/>
        <v>81.554137765000007</v>
      </c>
      <c r="U121" s="862">
        <f t="shared" si="36"/>
        <v>306.93921893531569</v>
      </c>
      <c r="V121" s="862">
        <f t="shared" si="37"/>
        <v>106.963153496122</v>
      </c>
      <c r="X121" s="251"/>
      <c r="Y121" s="251"/>
      <c r="Z121" s="251"/>
      <c r="AA121" s="251"/>
      <c r="AB121" s="251"/>
    </row>
    <row r="122" spans="17:28" x14ac:dyDescent="0.2">
      <c r="Q122" s="250"/>
      <c r="R122" s="210">
        <v>2019</v>
      </c>
      <c r="S122" s="862">
        <f>E32</f>
        <v>197.33050129443214</v>
      </c>
      <c r="T122" s="862">
        <f t="shared" ref="T122" si="38">F32</f>
        <v>152.23425350425475</v>
      </c>
      <c r="U122" s="862">
        <f t="shared" ref="U122" si="39">G32</f>
        <v>268.81873530705138</v>
      </c>
      <c r="V122" s="862">
        <f t="shared" ref="V122" si="40">P32</f>
        <v>91.252862507112198</v>
      </c>
      <c r="X122" s="251"/>
      <c r="Y122" s="251"/>
      <c r="Z122" s="251"/>
      <c r="AA122" s="251"/>
      <c r="AB122" s="251"/>
    </row>
    <row r="123" spans="17:28" x14ac:dyDescent="0.2">
      <c r="Q123" s="250"/>
      <c r="X123" s="251"/>
      <c r="Y123" s="251"/>
      <c r="Z123" s="251"/>
      <c r="AA123" s="251"/>
      <c r="AB123" s="251"/>
    </row>
    <row r="124" spans="17:28" x14ac:dyDescent="0.2">
      <c r="Q124" s="250"/>
      <c r="X124" s="251"/>
      <c r="Y124" s="251"/>
      <c r="Z124" s="251"/>
      <c r="AA124" s="251"/>
      <c r="AB124" s="251"/>
    </row>
    <row r="125" spans="17:28" x14ac:dyDescent="0.2">
      <c r="Q125" s="250"/>
      <c r="X125" s="251"/>
      <c r="Y125" s="251"/>
      <c r="Z125" s="251"/>
      <c r="AA125" s="251"/>
      <c r="AB125" s="251"/>
    </row>
    <row r="126" spans="17:28" x14ac:dyDescent="0.2">
      <c r="Q126" s="250"/>
      <c r="X126" s="251"/>
      <c r="Y126" s="251"/>
      <c r="Z126" s="251"/>
      <c r="AA126" s="251"/>
      <c r="AB126" s="251"/>
    </row>
    <row r="127" spans="17:28" x14ac:dyDescent="0.2">
      <c r="Q127" s="250"/>
      <c r="X127" s="251"/>
      <c r="Y127" s="251"/>
      <c r="Z127" s="251"/>
      <c r="AA127" s="251"/>
      <c r="AB127" s="251"/>
    </row>
    <row r="128" spans="17:28" x14ac:dyDescent="0.2">
      <c r="Q128" s="250"/>
      <c r="X128" s="251"/>
      <c r="Y128" s="251"/>
      <c r="Z128" s="251"/>
      <c r="AA128" s="251"/>
      <c r="AB128" s="251"/>
    </row>
    <row r="129" spans="17:28" x14ac:dyDescent="0.2">
      <c r="Q129" s="250"/>
      <c r="X129" s="251"/>
      <c r="Y129" s="251"/>
      <c r="Z129" s="251"/>
      <c r="AA129" s="251"/>
      <c r="AB129" s="251"/>
    </row>
    <row r="130" spans="17:28" x14ac:dyDescent="0.2">
      <c r="Q130" s="250"/>
      <c r="X130" s="251"/>
      <c r="Y130" s="251"/>
      <c r="Z130" s="251"/>
      <c r="AA130" s="251"/>
      <c r="AB130" s="251"/>
    </row>
    <row r="131" spans="17:28" x14ac:dyDescent="0.2">
      <c r="Q131" s="250"/>
      <c r="X131" s="251"/>
      <c r="Y131" s="251"/>
      <c r="Z131" s="251"/>
      <c r="AA131" s="251"/>
      <c r="AB131" s="251"/>
    </row>
    <row r="132" spans="17:28" x14ac:dyDescent="0.2">
      <c r="Q132" s="250"/>
      <c r="X132" s="251"/>
      <c r="Y132" s="251"/>
      <c r="Z132" s="251"/>
      <c r="AA132" s="251"/>
      <c r="AB132" s="251"/>
    </row>
    <row r="133" spans="17:28" x14ac:dyDescent="0.2">
      <c r="Q133" s="250"/>
      <c r="X133" s="251"/>
      <c r="Y133" s="251"/>
      <c r="Z133" s="251"/>
      <c r="AA133" s="251"/>
      <c r="AB133" s="251"/>
    </row>
    <row r="134" spans="17:28" x14ac:dyDescent="0.2">
      <c r="Q134" s="250"/>
      <c r="X134" s="251"/>
      <c r="Y134" s="251"/>
      <c r="Z134" s="251"/>
      <c r="AA134" s="251"/>
      <c r="AB134" s="251"/>
    </row>
    <row r="135" spans="17:28" x14ac:dyDescent="0.2">
      <c r="Q135" s="250"/>
      <c r="X135" s="251"/>
      <c r="Y135" s="251"/>
      <c r="Z135" s="251"/>
      <c r="AA135" s="251"/>
      <c r="AB135" s="251"/>
    </row>
    <row r="136" spans="17:28" x14ac:dyDescent="0.2">
      <c r="Q136" s="250"/>
      <c r="X136" s="251"/>
      <c r="Y136" s="251"/>
      <c r="Z136" s="251"/>
      <c r="AA136" s="251"/>
      <c r="AB136" s="251"/>
    </row>
    <row r="137" spans="17:28" x14ac:dyDescent="0.2">
      <c r="Q137" s="250"/>
      <c r="X137" s="251"/>
      <c r="Y137" s="251"/>
      <c r="Z137" s="251"/>
      <c r="AA137" s="251"/>
      <c r="AB137" s="251"/>
    </row>
    <row r="138" spans="17:28" x14ac:dyDescent="0.2">
      <c r="Q138" s="250"/>
      <c r="X138" s="251"/>
      <c r="Y138" s="251"/>
      <c r="Z138" s="251"/>
      <c r="AA138" s="251"/>
      <c r="AB138" s="251"/>
    </row>
    <row r="139" spans="17:28" x14ac:dyDescent="0.2">
      <c r="Q139" s="250"/>
      <c r="X139" s="251"/>
      <c r="Y139" s="251"/>
      <c r="Z139" s="251"/>
      <c r="AA139" s="251"/>
      <c r="AB139" s="251"/>
    </row>
    <row r="140" spans="17:28" x14ac:dyDescent="0.2">
      <c r="Q140" s="250"/>
      <c r="X140" s="251"/>
      <c r="Y140" s="251"/>
      <c r="Z140" s="251"/>
      <c r="AA140" s="251"/>
      <c r="AB140" s="251"/>
    </row>
    <row r="141" spans="17:28" x14ac:dyDescent="0.2">
      <c r="Q141" s="250"/>
      <c r="X141" s="251"/>
      <c r="Y141" s="251"/>
      <c r="Z141" s="251"/>
      <c r="AA141" s="251"/>
      <c r="AB141" s="251"/>
    </row>
    <row r="142" spans="17:28" x14ac:dyDescent="0.2">
      <c r="Q142" s="250"/>
      <c r="X142" s="251"/>
      <c r="Y142" s="251"/>
      <c r="Z142" s="251"/>
      <c r="AA142" s="251"/>
      <c r="AB142" s="251"/>
    </row>
    <row r="143" spans="17:28" x14ac:dyDescent="0.2">
      <c r="Q143" s="250"/>
      <c r="X143" s="251"/>
      <c r="Y143" s="251"/>
      <c r="Z143" s="251"/>
      <c r="AA143" s="251"/>
      <c r="AB143" s="251"/>
    </row>
    <row r="144" spans="17:28" x14ac:dyDescent="0.2">
      <c r="Q144" s="250"/>
      <c r="X144" s="251"/>
      <c r="Y144" s="251"/>
      <c r="Z144" s="251"/>
      <c r="AA144" s="251"/>
      <c r="AB144" s="251"/>
    </row>
    <row r="145" spans="17:28" x14ac:dyDescent="0.2">
      <c r="Q145" s="250"/>
      <c r="X145" s="251"/>
      <c r="Y145" s="251"/>
      <c r="Z145" s="251"/>
      <c r="AA145" s="251"/>
      <c r="AB145" s="251"/>
    </row>
    <row r="146" spans="17:28" x14ac:dyDescent="0.2">
      <c r="Q146" s="250"/>
      <c r="X146" s="251"/>
      <c r="Y146" s="251"/>
      <c r="Z146" s="251"/>
      <c r="AA146" s="251"/>
      <c r="AB146" s="251"/>
    </row>
    <row r="147" spans="17:28" x14ac:dyDescent="0.2">
      <c r="Q147" s="250"/>
      <c r="X147" s="251"/>
      <c r="Y147" s="251"/>
      <c r="Z147" s="251"/>
      <c r="AA147" s="251"/>
      <c r="AB147" s="251"/>
    </row>
    <row r="148" spans="17:28" x14ac:dyDescent="0.2">
      <c r="Q148" s="250"/>
      <c r="X148" s="251"/>
      <c r="Y148" s="251"/>
      <c r="Z148" s="251"/>
      <c r="AA148" s="251"/>
      <c r="AB148" s="251"/>
    </row>
    <row r="149" spans="17:28" x14ac:dyDescent="0.2">
      <c r="Q149" s="250"/>
      <c r="X149" s="251"/>
      <c r="Y149" s="251"/>
      <c r="Z149" s="251"/>
      <c r="AA149" s="251"/>
      <c r="AB149" s="251"/>
    </row>
    <row r="150" spans="17:28" x14ac:dyDescent="0.2">
      <c r="Q150" s="250"/>
      <c r="X150" s="251"/>
      <c r="Y150" s="251"/>
      <c r="Z150" s="251"/>
      <c r="AA150" s="251"/>
      <c r="AB150" s="251"/>
    </row>
    <row r="151" spans="17:28" x14ac:dyDescent="0.2">
      <c r="Q151" s="250"/>
      <c r="X151" s="251"/>
      <c r="Y151" s="251"/>
      <c r="Z151" s="251"/>
      <c r="AA151" s="251"/>
      <c r="AB151" s="251"/>
    </row>
    <row r="152" spans="17:28" x14ac:dyDescent="0.2">
      <c r="Q152" s="250"/>
      <c r="X152" s="251"/>
      <c r="Y152" s="251"/>
      <c r="Z152" s="251"/>
      <c r="AA152" s="251"/>
      <c r="AB152" s="251"/>
    </row>
    <row r="153" spans="17:28" x14ac:dyDescent="0.2">
      <c r="Q153" s="250"/>
      <c r="X153" s="251"/>
      <c r="Y153" s="251"/>
      <c r="Z153" s="251"/>
      <c r="AA153" s="251"/>
      <c r="AB153" s="251"/>
    </row>
    <row r="154" spans="17:28" x14ac:dyDescent="0.2">
      <c r="Q154" s="250"/>
      <c r="X154" s="251"/>
      <c r="Y154" s="251"/>
      <c r="Z154" s="251"/>
      <c r="AA154" s="251"/>
      <c r="AB154" s="251"/>
    </row>
    <row r="155" spans="17:28" x14ac:dyDescent="0.2">
      <c r="Q155" s="250"/>
      <c r="X155" s="251"/>
      <c r="Y155" s="251"/>
      <c r="Z155" s="251"/>
      <c r="AA155" s="251"/>
      <c r="AB155" s="251"/>
    </row>
    <row r="156" spans="17:28" x14ac:dyDescent="0.2">
      <c r="Q156" s="250"/>
      <c r="X156" s="251"/>
      <c r="Y156" s="251"/>
      <c r="Z156" s="251"/>
      <c r="AA156" s="251"/>
      <c r="AB156" s="251"/>
    </row>
    <row r="157" spans="17:28" x14ac:dyDescent="0.2">
      <c r="Q157" s="250"/>
      <c r="X157" s="251"/>
      <c r="Y157" s="251"/>
      <c r="Z157" s="251"/>
      <c r="AA157" s="251"/>
      <c r="AB157" s="251"/>
    </row>
    <row r="158" spans="17:28" x14ac:dyDescent="0.2">
      <c r="Q158" s="250"/>
      <c r="X158" s="251"/>
      <c r="Y158" s="251"/>
      <c r="Z158" s="251"/>
      <c r="AA158" s="251"/>
      <c r="AB158" s="251"/>
    </row>
    <row r="159" spans="17:28" x14ac:dyDescent="0.2">
      <c r="Q159" s="250"/>
      <c r="X159" s="251"/>
      <c r="Y159" s="251"/>
      <c r="Z159" s="251"/>
      <c r="AA159" s="251"/>
      <c r="AB159" s="251"/>
    </row>
    <row r="160" spans="17:28" x14ac:dyDescent="0.2">
      <c r="Q160" s="250"/>
      <c r="X160" s="251"/>
      <c r="Y160" s="251"/>
      <c r="Z160" s="251"/>
      <c r="AA160" s="251"/>
      <c r="AB160" s="251"/>
    </row>
    <row r="161" spans="17:28" x14ac:dyDescent="0.2">
      <c r="Q161" s="250"/>
      <c r="X161" s="251"/>
      <c r="Y161" s="251"/>
      <c r="Z161" s="251"/>
      <c r="AA161" s="251"/>
      <c r="AB161" s="251"/>
    </row>
    <row r="162" spans="17:28" x14ac:dyDescent="0.2">
      <c r="Q162" s="250"/>
      <c r="X162" s="251"/>
      <c r="Y162" s="251"/>
      <c r="Z162" s="251"/>
      <c r="AA162" s="251"/>
      <c r="AB162" s="251"/>
    </row>
    <row r="163" spans="17:28" x14ac:dyDescent="0.2">
      <c r="Q163" s="250"/>
      <c r="X163" s="251"/>
      <c r="Y163" s="251"/>
      <c r="Z163" s="251"/>
      <c r="AA163" s="251"/>
      <c r="AB163" s="251"/>
    </row>
    <row r="164" spans="17:28" x14ac:dyDescent="0.2">
      <c r="Q164" s="250"/>
      <c r="X164" s="251"/>
      <c r="Y164" s="251"/>
      <c r="Z164" s="251"/>
      <c r="AA164" s="251"/>
      <c r="AB164" s="251"/>
    </row>
    <row r="165" spans="17:28" x14ac:dyDescent="0.2">
      <c r="Q165" s="250"/>
      <c r="X165" s="251"/>
      <c r="Y165" s="251"/>
      <c r="Z165" s="251"/>
      <c r="AA165" s="251"/>
      <c r="AB165" s="251"/>
    </row>
    <row r="166" spans="17:28" x14ac:dyDescent="0.2">
      <c r="Q166" s="250"/>
      <c r="X166" s="251"/>
      <c r="Y166" s="251"/>
      <c r="Z166" s="251"/>
      <c r="AA166" s="251"/>
      <c r="AB166" s="251"/>
    </row>
    <row r="167" spans="17:28" x14ac:dyDescent="0.2">
      <c r="Q167" s="250"/>
      <c r="X167" s="251"/>
      <c r="Y167" s="251"/>
      <c r="Z167" s="251"/>
      <c r="AA167" s="251"/>
      <c r="AB167" s="251"/>
    </row>
    <row r="168" spans="17:28" x14ac:dyDescent="0.2">
      <c r="Q168" s="250"/>
      <c r="X168" s="251"/>
      <c r="Y168" s="251"/>
      <c r="Z168" s="251"/>
      <c r="AA168" s="251"/>
      <c r="AB168" s="251"/>
    </row>
    <row r="169" spans="17:28" x14ac:dyDescent="0.2">
      <c r="Q169" s="250"/>
      <c r="X169" s="251"/>
      <c r="Y169" s="251"/>
      <c r="Z169" s="251"/>
      <c r="AA169" s="251"/>
      <c r="AB169" s="251"/>
    </row>
    <row r="170" spans="17:28" x14ac:dyDescent="0.2">
      <c r="Q170" s="250"/>
      <c r="X170" s="251"/>
      <c r="Y170" s="251"/>
      <c r="Z170" s="251"/>
      <c r="AA170" s="251"/>
      <c r="AB170" s="251"/>
    </row>
    <row r="171" spans="17:28" x14ac:dyDescent="0.2">
      <c r="Q171" s="250"/>
      <c r="X171" s="251"/>
      <c r="Y171" s="251"/>
      <c r="Z171" s="251"/>
      <c r="AA171" s="251"/>
      <c r="AB171" s="251"/>
    </row>
    <row r="172" spans="17:28" x14ac:dyDescent="0.2">
      <c r="Q172" s="250"/>
      <c r="X172" s="251"/>
      <c r="Y172" s="251"/>
      <c r="Z172" s="251"/>
      <c r="AA172" s="251"/>
      <c r="AB172" s="251"/>
    </row>
    <row r="173" spans="17:28" x14ac:dyDescent="0.2">
      <c r="Q173" s="250"/>
      <c r="X173" s="251"/>
      <c r="Y173" s="251"/>
      <c r="Z173" s="251"/>
      <c r="AA173" s="251"/>
      <c r="AB173" s="251"/>
    </row>
    <row r="174" spans="17:28" x14ac:dyDescent="0.2">
      <c r="Q174" s="250"/>
      <c r="X174" s="251"/>
      <c r="Y174" s="251"/>
      <c r="Z174" s="251"/>
      <c r="AA174" s="251"/>
      <c r="AB174" s="251"/>
    </row>
    <row r="175" spans="17:28" x14ac:dyDescent="0.2">
      <c r="Q175" s="250"/>
      <c r="X175" s="251"/>
      <c r="Y175" s="251"/>
      <c r="Z175" s="251"/>
      <c r="AA175" s="251"/>
      <c r="AB175" s="251"/>
    </row>
    <row r="176" spans="17:28" x14ac:dyDescent="0.2">
      <c r="Q176" s="250"/>
      <c r="X176" s="251"/>
      <c r="Y176" s="251"/>
      <c r="Z176" s="251"/>
      <c r="AA176" s="251"/>
      <c r="AB176" s="251"/>
    </row>
    <row r="177" spans="17:28" x14ac:dyDescent="0.2">
      <c r="Q177" s="250"/>
      <c r="X177" s="251"/>
      <c r="Y177" s="251"/>
      <c r="Z177" s="251"/>
      <c r="AA177" s="251"/>
      <c r="AB177" s="251"/>
    </row>
    <row r="178" spans="17:28" x14ac:dyDescent="0.2">
      <c r="Q178" s="250"/>
      <c r="X178" s="251"/>
      <c r="Y178" s="251"/>
      <c r="Z178" s="251"/>
      <c r="AA178" s="251"/>
      <c r="AB178" s="251"/>
    </row>
    <row r="179" spans="17:28" x14ac:dyDescent="0.2">
      <c r="Q179" s="250"/>
      <c r="X179" s="251"/>
      <c r="Y179" s="251"/>
      <c r="Z179" s="251"/>
      <c r="AA179" s="251"/>
      <c r="AB179" s="251"/>
    </row>
    <row r="180" spans="17:28" x14ac:dyDescent="0.2">
      <c r="Q180" s="250"/>
      <c r="X180" s="251"/>
      <c r="Y180" s="251"/>
      <c r="Z180" s="251"/>
      <c r="AA180" s="251"/>
      <c r="AB180" s="251"/>
    </row>
    <row r="181" spans="17:28" x14ac:dyDescent="0.2">
      <c r="Q181" s="250"/>
      <c r="X181" s="251"/>
      <c r="Y181" s="251"/>
      <c r="Z181" s="251"/>
      <c r="AA181" s="251"/>
      <c r="AB181" s="251"/>
    </row>
    <row r="182" spans="17:28" x14ac:dyDescent="0.2">
      <c r="Q182" s="250"/>
      <c r="X182" s="251"/>
      <c r="Y182" s="251"/>
      <c r="Z182" s="251"/>
      <c r="AA182" s="251"/>
      <c r="AB182" s="251"/>
    </row>
    <row r="183" spans="17:28" x14ac:dyDescent="0.2">
      <c r="Q183" s="250"/>
      <c r="X183" s="251"/>
      <c r="Y183" s="251"/>
      <c r="Z183" s="251"/>
      <c r="AA183" s="251"/>
      <c r="AB183" s="251"/>
    </row>
    <row r="184" spans="17:28" x14ac:dyDescent="0.2">
      <c r="Q184" s="250"/>
      <c r="X184" s="251"/>
      <c r="Y184" s="251"/>
      <c r="Z184" s="251"/>
      <c r="AA184" s="251"/>
      <c r="AB184" s="251"/>
    </row>
    <row r="185" spans="17:28" x14ac:dyDescent="0.2">
      <c r="Q185" s="250"/>
      <c r="X185" s="251"/>
      <c r="Y185" s="251"/>
      <c r="Z185" s="251"/>
      <c r="AA185" s="251"/>
      <c r="AB185" s="251"/>
    </row>
    <row r="186" spans="17:28" x14ac:dyDescent="0.2">
      <c r="Q186" s="250"/>
      <c r="X186" s="251"/>
      <c r="Y186" s="251"/>
      <c r="Z186" s="251"/>
      <c r="AA186" s="251"/>
      <c r="AB186" s="251"/>
    </row>
    <row r="187" spans="17:28" x14ac:dyDescent="0.2">
      <c r="Q187" s="250"/>
      <c r="X187" s="251"/>
      <c r="Y187" s="251"/>
      <c r="Z187" s="251"/>
      <c r="AA187" s="251"/>
      <c r="AB187" s="251"/>
    </row>
    <row r="188" spans="17:28" x14ac:dyDescent="0.2">
      <c r="Q188" s="250"/>
      <c r="X188" s="251"/>
      <c r="Y188" s="251"/>
      <c r="Z188" s="251"/>
      <c r="AA188" s="251"/>
      <c r="AB188" s="251"/>
    </row>
    <row r="189" spans="17:28" x14ac:dyDescent="0.2">
      <c r="Q189" s="250"/>
      <c r="X189" s="251"/>
      <c r="Y189" s="251"/>
      <c r="Z189" s="251"/>
      <c r="AA189" s="251"/>
      <c r="AB189" s="251"/>
    </row>
    <row r="190" spans="17:28" x14ac:dyDescent="0.2">
      <c r="Q190" s="250"/>
      <c r="X190" s="251"/>
      <c r="Y190" s="251"/>
      <c r="Z190" s="251"/>
      <c r="AA190" s="251"/>
      <c r="AB190" s="251"/>
    </row>
    <row r="191" spans="17:28" x14ac:dyDescent="0.2">
      <c r="Q191" s="250"/>
      <c r="X191" s="251"/>
      <c r="Y191" s="251"/>
      <c r="Z191" s="251"/>
      <c r="AA191" s="251"/>
      <c r="AB191" s="251"/>
    </row>
    <row r="192" spans="17:28" x14ac:dyDescent="0.2">
      <c r="Q192" s="250"/>
      <c r="X192" s="251"/>
      <c r="Y192" s="251"/>
      <c r="Z192" s="251"/>
      <c r="AA192" s="251"/>
      <c r="AB192" s="251"/>
    </row>
    <row r="193" spans="17:28" x14ac:dyDescent="0.2">
      <c r="Q193" s="250"/>
      <c r="X193" s="251"/>
      <c r="Y193" s="251"/>
      <c r="Z193" s="251"/>
      <c r="AA193" s="251"/>
      <c r="AB193" s="251"/>
    </row>
    <row r="194" spans="17:28" x14ac:dyDescent="0.2">
      <c r="Q194" s="250"/>
      <c r="X194" s="251"/>
      <c r="Y194" s="251"/>
      <c r="Z194" s="251"/>
      <c r="AA194" s="251"/>
      <c r="AB194" s="251"/>
    </row>
    <row r="195" spans="17:28" x14ac:dyDescent="0.2">
      <c r="Q195" s="250"/>
      <c r="X195" s="251"/>
      <c r="Y195" s="251"/>
      <c r="Z195" s="251"/>
      <c r="AA195" s="251"/>
      <c r="AB195" s="251"/>
    </row>
    <row r="196" spans="17:28" x14ac:dyDescent="0.2">
      <c r="Q196" s="250"/>
      <c r="X196" s="251"/>
      <c r="Y196" s="251"/>
      <c r="Z196" s="251"/>
      <c r="AA196" s="251"/>
      <c r="AB196" s="251"/>
    </row>
    <row r="197" spans="17:28" x14ac:dyDescent="0.2">
      <c r="Q197" s="250"/>
      <c r="X197" s="251"/>
      <c r="Y197" s="251"/>
      <c r="Z197" s="251"/>
      <c r="AA197" s="251"/>
      <c r="AB197" s="251"/>
    </row>
    <row r="198" spans="17:28" x14ac:dyDescent="0.2">
      <c r="Q198" s="250"/>
      <c r="X198" s="251"/>
      <c r="Y198" s="251"/>
      <c r="Z198" s="251"/>
      <c r="AA198" s="251"/>
      <c r="AB198" s="251"/>
    </row>
    <row r="199" spans="17:28" x14ac:dyDescent="0.2">
      <c r="Q199" s="250"/>
      <c r="X199" s="251"/>
      <c r="Y199" s="251"/>
      <c r="Z199" s="251"/>
      <c r="AA199" s="251"/>
      <c r="AB199" s="251"/>
    </row>
    <row r="200" spans="17:28" x14ac:dyDescent="0.2">
      <c r="Q200" s="250"/>
      <c r="X200" s="251"/>
      <c r="Y200" s="251"/>
      <c r="Z200" s="251"/>
      <c r="AA200" s="251"/>
      <c r="AB200" s="251"/>
    </row>
    <row r="201" spans="17:28" x14ac:dyDescent="0.2">
      <c r="Q201" s="250"/>
      <c r="X201" s="251"/>
      <c r="Y201" s="251"/>
      <c r="Z201" s="251"/>
      <c r="AA201" s="251"/>
      <c r="AB201" s="251"/>
    </row>
    <row r="202" spans="17:28" x14ac:dyDescent="0.2">
      <c r="Q202" s="250"/>
      <c r="X202" s="251"/>
      <c r="Y202" s="251"/>
      <c r="Z202" s="251"/>
      <c r="AA202" s="251"/>
      <c r="AB202" s="251"/>
    </row>
    <row r="203" spans="17:28" x14ac:dyDescent="0.2">
      <c r="Q203" s="250"/>
      <c r="X203" s="251"/>
      <c r="Y203" s="251"/>
      <c r="Z203" s="251"/>
      <c r="AA203" s="251"/>
      <c r="AB203" s="251"/>
    </row>
    <row r="204" spans="17:28" x14ac:dyDescent="0.2">
      <c r="Q204" s="250"/>
      <c r="X204" s="251"/>
      <c r="Y204" s="251"/>
      <c r="Z204" s="251"/>
      <c r="AA204" s="251"/>
      <c r="AB204" s="251"/>
    </row>
    <row r="205" spans="17:28" x14ac:dyDescent="0.2">
      <c r="Q205" s="250"/>
      <c r="X205" s="251"/>
      <c r="Y205" s="251"/>
      <c r="Z205" s="251"/>
      <c r="AA205" s="251"/>
      <c r="AB205" s="251"/>
    </row>
    <row r="206" spans="17:28" x14ac:dyDescent="0.2">
      <c r="Q206" s="250"/>
      <c r="X206" s="251"/>
      <c r="Y206" s="251"/>
      <c r="Z206" s="251"/>
      <c r="AA206" s="251"/>
      <c r="AB206" s="251"/>
    </row>
    <row r="207" spans="17:28" x14ac:dyDescent="0.2">
      <c r="Q207" s="250"/>
      <c r="X207" s="251"/>
      <c r="Y207" s="251"/>
      <c r="Z207" s="251"/>
      <c r="AA207" s="251"/>
      <c r="AB207" s="251"/>
    </row>
    <row r="208" spans="17:28" x14ac:dyDescent="0.2">
      <c r="Q208" s="250"/>
      <c r="X208" s="251"/>
      <c r="Y208" s="251"/>
      <c r="Z208" s="251"/>
      <c r="AA208" s="251"/>
      <c r="AB208" s="251"/>
    </row>
    <row r="209" spans="17:28" x14ac:dyDescent="0.2">
      <c r="Q209" s="250"/>
      <c r="X209" s="251"/>
      <c r="Y209" s="251"/>
      <c r="Z209" s="251"/>
      <c r="AA209" s="251"/>
      <c r="AB209" s="251"/>
    </row>
    <row r="210" spans="17:28" x14ac:dyDescent="0.2">
      <c r="Q210" s="250"/>
      <c r="X210" s="251"/>
      <c r="Y210" s="251"/>
      <c r="Z210" s="251"/>
      <c r="AA210" s="251"/>
      <c r="AB210" s="251"/>
    </row>
    <row r="211" spans="17:28" x14ac:dyDescent="0.2">
      <c r="Q211" s="250"/>
      <c r="X211" s="251"/>
      <c r="Y211" s="251"/>
      <c r="Z211" s="251"/>
      <c r="AA211" s="251"/>
      <c r="AB211" s="251"/>
    </row>
    <row r="212" spans="17:28" x14ac:dyDescent="0.2">
      <c r="Q212" s="250"/>
      <c r="X212" s="251"/>
      <c r="Y212" s="251"/>
      <c r="Z212" s="251"/>
      <c r="AA212" s="251"/>
      <c r="AB212" s="251"/>
    </row>
    <row r="213" spans="17:28" x14ac:dyDescent="0.2">
      <c r="Q213" s="250"/>
      <c r="X213" s="251"/>
      <c r="Y213" s="251"/>
      <c r="Z213" s="251"/>
      <c r="AA213" s="251"/>
      <c r="AB213" s="251"/>
    </row>
    <row r="214" spans="17:28" x14ac:dyDescent="0.2">
      <c r="Q214" s="250"/>
      <c r="X214" s="251"/>
      <c r="Y214" s="251"/>
      <c r="Z214" s="251"/>
      <c r="AA214" s="251"/>
      <c r="AB214" s="251"/>
    </row>
    <row r="215" spans="17:28" x14ac:dyDescent="0.2">
      <c r="Q215" s="250"/>
      <c r="X215" s="251"/>
      <c r="Y215" s="251"/>
      <c r="Z215" s="251"/>
      <c r="AA215" s="251"/>
      <c r="AB215" s="251"/>
    </row>
    <row r="216" spans="17:28" x14ac:dyDescent="0.2">
      <c r="Q216" s="250"/>
      <c r="X216" s="251"/>
      <c r="Y216" s="251"/>
      <c r="Z216" s="251"/>
      <c r="AA216" s="251"/>
      <c r="AB216" s="251"/>
    </row>
    <row r="217" spans="17:28" x14ac:dyDescent="0.2">
      <c r="Q217" s="250"/>
      <c r="X217" s="251"/>
      <c r="Y217" s="251"/>
      <c r="Z217" s="251"/>
      <c r="AA217" s="251"/>
      <c r="AB217" s="251"/>
    </row>
    <row r="218" spans="17:28" x14ac:dyDescent="0.2">
      <c r="Q218" s="250"/>
      <c r="X218" s="251"/>
      <c r="Y218" s="251"/>
      <c r="Z218" s="251"/>
      <c r="AA218" s="251"/>
      <c r="AB218" s="251"/>
    </row>
    <row r="219" spans="17:28" x14ac:dyDescent="0.2">
      <c r="Q219" s="250"/>
      <c r="X219" s="251"/>
      <c r="Y219" s="251"/>
      <c r="Z219" s="251"/>
      <c r="AA219" s="251"/>
      <c r="AB219" s="251"/>
    </row>
    <row r="220" spans="17:28" x14ac:dyDescent="0.2">
      <c r="Q220" s="250"/>
      <c r="X220" s="251"/>
      <c r="Y220" s="251"/>
      <c r="Z220" s="251"/>
      <c r="AA220" s="251"/>
      <c r="AB220" s="251"/>
    </row>
    <row r="221" spans="17:28" x14ac:dyDescent="0.2">
      <c r="Q221" s="250"/>
      <c r="X221" s="251"/>
      <c r="Y221" s="251"/>
      <c r="Z221" s="251"/>
      <c r="AA221" s="251"/>
      <c r="AB221" s="251"/>
    </row>
  </sheetData>
  <mergeCells count="7">
    <mergeCell ref="B5:B6"/>
    <mergeCell ref="D5:G5"/>
    <mergeCell ref="H5:K5"/>
    <mergeCell ref="L5:O5"/>
    <mergeCell ref="R36:R37"/>
    <mergeCell ref="C5:C6"/>
    <mergeCell ref="P5:P6"/>
  </mergeCells>
  <printOptions horizontalCentered="1"/>
  <pageMargins left="0.78740157480314965" right="0.78740157480314965" top="0.78740157480314965" bottom="0.39370078740157483" header="0" footer="0"/>
  <pageSetup paperSize="9" scale="41" fitToHeight="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92"/>
  <sheetViews>
    <sheetView showGridLines="0" view="pageBreakPreview" zoomScale="80" zoomScaleNormal="70" zoomScaleSheetLayoutView="80" workbookViewId="0">
      <pane xSplit="2" ySplit="3" topLeftCell="X126" activePane="bottomRight" state="frozen"/>
      <selection activeCell="N42" sqref="N42"/>
      <selection pane="topRight" activeCell="N42" sqref="N42"/>
      <selection pane="bottomLeft" activeCell="N42" sqref="N42"/>
      <selection pane="bottomRight" activeCell="J150" sqref="J150"/>
    </sheetView>
  </sheetViews>
  <sheetFormatPr baseColWidth="10" defaultColWidth="11.42578125" defaultRowHeight="12.75" x14ac:dyDescent="0.2"/>
  <cols>
    <col min="1" max="1" width="4.85546875" style="73" customWidth="1"/>
    <col min="2" max="2" width="68.7109375" style="73" customWidth="1"/>
    <col min="3" max="3" width="11" style="73" customWidth="1"/>
    <col min="4" max="4" width="11.5703125" style="73" customWidth="1"/>
    <col min="5" max="5" width="6.42578125" style="73" customWidth="1"/>
    <col min="6" max="9" width="11.5703125" style="73" customWidth="1"/>
    <col min="10" max="13" width="12.28515625" style="73" bestFit="1" customWidth="1"/>
    <col min="14" max="17" width="11" style="73" bestFit="1" customWidth="1"/>
    <col min="18" max="23" width="12.28515625" style="73" bestFit="1" customWidth="1"/>
    <col min="24" max="28" width="14.140625" style="73" bestFit="1" customWidth="1"/>
    <col min="29" max="31" width="12.7109375" style="73" bestFit="1" customWidth="1"/>
    <col min="32" max="32" width="12.7109375" style="73" customWidth="1"/>
    <col min="33" max="33" width="17.85546875" style="73" bestFit="1" customWidth="1"/>
    <col min="34" max="37" width="11.42578125" style="73"/>
    <col min="38" max="38" width="23.140625" style="73" customWidth="1"/>
    <col min="39" max="16384" width="11.42578125" style="73"/>
  </cols>
  <sheetData>
    <row r="1" spans="1:41" ht="18" x14ac:dyDescent="0.25">
      <c r="A1" s="1379" t="s">
        <v>349</v>
      </c>
      <c r="B1" s="1379"/>
      <c r="C1" s="1379"/>
      <c r="D1" s="1379"/>
      <c r="E1" s="1379"/>
      <c r="F1" s="1379"/>
      <c r="G1" s="1379"/>
      <c r="H1" s="1379"/>
      <c r="I1" s="1379"/>
      <c r="J1" s="1379"/>
      <c r="K1" s="1379"/>
      <c r="L1" s="1379"/>
      <c r="M1" s="1379"/>
      <c r="N1" s="1379"/>
      <c r="O1" s="1379"/>
      <c r="P1" s="1379"/>
      <c r="Q1" s="1379"/>
      <c r="R1" s="1379"/>
      <c r="S1" s="1379"/>
      <c r="T1" s="1379"/>
      <c r="U1" s="1379"/>
      <c r="V1" s="1379"/>
      <c r="W1" s="1379"/>
      <c r="X1" s="1379"/>
      <c r="Y1" s="1379"/>
      <c r="Z1" s="1379"/>
      <c r="AA1" s="1379"/>
      <c r="AB1" s="1379"/>
      <c r="AC1" s="1379"/>
      <c r="AD1" s="1379"/>
      <c r="AE1" s="1379"/>
      <c r="AF1" s="1379"/>
      <c r="AG1" s="1379"/>
    </row>
    <row r="2" spans="1:41" ht="13.5" thickBot="1" x14ac:dyDescent="0.25"/>
    <row r="3" spans="1:41" s="75" customFormat="1" ht="16.5" thickBot="1" x14ac:dyDescent="0.3">
      <c r="A3" s="1213" t="s">
        <v>117</v>
      </c>
      <c r="B3" s="1214" t="s">
        <v>118</v>
      </c>
      <c r="C3" s="1215">
        <v>1990</v>
      </c>
      <c r="D3" s="1216">
        <v>1991</v>
      </c>
      <c r="E3" s="1216">
        <v>1992</v>
      </c>
      <c r="F3" s="1216">
        <v>1993</v>
      </c>
      <c r="G3" s="1216">
        <v>1994</v>
      </c>
      <c r="H3" s="1216">
        <v>1995</v>
      </c>
      <c r="I3" s="1216">
        <v>1996</v>
      </c>
      <c r="J3" s="1216">
        <v>1997</v>
      </c>
      <c r="K3" s="1216">
        <v>1998</v>
      </c>
      <c r="L3" s="1216">
        <v>1999</v>
      </c>
      <c r="M3" s="1215">
        <v>2000</v>
      </c>
      <c r="N3" s="1215">
        <v>2001</v>
      </c>
      <c r="O3" s="1215">
        <v>2002</v>
      </c>
      <c r="P3" s="1215">
        <v>2003</v>
      </c>
      <c r="Q3" s="1215">
        <v>2004</v>
      </c>
      <c r="R3" s="1215">
        <v>2005</v>
      </c>
      <c r="S3" s="1215">
        <v>2006</v>
      </c>
      <c r="T3" s="1215">
        <v>2007</v>
      </c>
      <c r="U3" s="1215">
        <v>2008</v>
      </c>
      <c r="V3" s="1217">
        <v>2009</v>
      </c>
      <c r="W3" s="1216">
        <v>2010</v>
      </c>
      <c r="X3" s="1216">
        <v>2011</v>
      </c>
      <c r="Y3" s="1216">
        <v>2012</v>
      </c>
      <c r="Z3" s="1216">
        <v>2013</v>
      </c>
      <c r="AA3" s="1216">
        <v>2014</v>
      </c>
      <c r="AB3" s="1216">
        <v>2015</v>
      </c>
      <c r="AC3" s="1216">
        <v>2016</v>
      </c>
      <c r="AD3" s="1216">
        <v>2017</v>
      </c>
      <c r="AE3" s="1216">
        <v>2018</v>
      </c>
      <c r="AF3" s="1216">
        <v>2019</v>
      </c>
      <c r="AG3" s="1218" t="s">
        <v>0</v>
      </c>
      <c r="AH3" s="74"/>
      <c r="AI3" s="74"/>
      <c r="AJ3" s="74"/>
      <c r="AK3" s="74"/>
      <c r="AL3" s="74"/>
      <c r="AM3" s="74"/>
      <c r="AN3" s="74"/>
      <c r="AO3" s="74"/>
    </row>
    <row r="4" spans="1:41" s="75" customFormat="1" ht="15" x14ac:dyDescent="0.25">
      <c r="A4" s="389">
        <v>1</v>
      </c>
      <c r="B4" s="551" t="s">
        <v>333</v>
      </c>
      <c r="C4" s="391"/>
      <c r="D4" s="391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9"/>
      <c r="Y4" s="509"/>
      <c r="Z4" s="509"/>
      <c r="AA4" s="509"/>
      <c r="AB4" s="509"/>
      <c r="AC4" s="509"/>
      <c r="AD4" s="509"/>
      <c r="AE4" s="509"/>
      <c r="AF4" s="509"/>
      <c r="AG4" s="510">
        <f>SUM(C4:AF4)</f>
        <v>0</v>
      </c>
      <c r="AH4" s="74"/>
      <c r="AI4" s="74"/>
      <c r="AJ4" s="74"/>
      <c r="AK4" s="74"/>
      <c r="AL4" s="74"/>
      <c r="AM4" s="74"/>
      <c r="AN4" s="74"/>
      <c r="AO4" s="74"/>
    </row>
    <row r="5" spans="1:41" s="211" customFormat="1" x14ac:dyDescent="0.2">
      <c r="A5" s="545">
        <f t="shared" ref="A5:A11" si="0">A4+1</f>
        <v>2</v>
      </c>
      <c r="B5" s="546" t="s">
        <v>272</v>
      </c>
      <c r="C5" s="547"/>
      <c r="D5" s="547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>
        <v>189</v>
      </c>
      <c r="X5" s="549">
        <v>96</v>
      </c>
      <c r="Y5" s="549"/>
      <c r="Z5" s="549"/>
      <c r="AA5" s="549"/>
      <c r="AB5" s="549"/>
      <c r="AC5" s="549"/>
      <c r="AD5" s="549"/>
      <c r="AE5" s="549"/>
      <c r="AF5" s="549"/>
      <c r="AG5" s="550">
        <f>SUM(C5:AF5)</f>
        <v>285</v>
      </c>
      <c r="AH5" s="102"/>
      <c r="AI5" s="102"/>
      <c r="AJ5" s="316"/>
      <c r="AK5" s="316"/>
      <c r="AL5" s="316"/>
      <c r="AM5" s="316"/>
      <c r="AN5" s="316"/>
      <c r="AO5" s="316"/>
    </row>
    <row r="6" spans="1:41" s="211" customFormat="1" x14ac:dyDescent="0.2">
      <c r="A6" s="545">
        <f t="shared" si="0"/>
        <v>3</v>
      </c>
      <c r="B6" s="546" t="s">
        <v>341</v>
      </c>
      <c r="C6" s="547"/>
      <c r="D6" s="547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9"/>
      <c r="Y6" s="549"/>
      <c r="Z6" s="549"/>
      <c r="AA6" s="549"/>
      <c r="AB6" s="549"/>
      <c r="AC6" s="549"/>
      <c r="AD6" s="549">
        <v>5395.24</v>
      </c>
      <c r="AE6" s="549"/>
      <c r="AF6" s="549">
        <v>235.60000000000019</v>
      </c>
      <c r="AG6" s="550">
        <f t="shared" ref="AG6:AG69" si="1">SUM(C6:AF6)</f>
        <v>5630.84</v>
      </c>
      <c r="AH6" s="102"/>
      <c r="AI6" s="102"/>
      <c r="AJ6" s="316"/>
      <c r="AK6" s="316"/>
      <c r="AL6" s="316"/>
      <c r="AM6" s="316"/>
      <c r="AN6" s="316"/>
      <c r="AO6" s="316"/>
    </row>
    <row r="7" spans="1:41" s="211" customFormat="1" x14ac:dyDescent="0.2">
      <c r="A7" s="392">
        <f t="shared" si="0"/>
        <v>4</v>
      </c>
      <c r="B7" s="390" t="s">
        <v>273</v>
      </c>
      <c r="C7" s="393"/>
      <c r="D7" s="393"/>
      <c r="E7" s="511"/>
      <c r="F7" s="511"/>
      <c r="G7" s="511"/>
      <c r="H7" s="511"/>
      <c r="I7" s="511"/>
      <c r="J7" s="511"/>
      <c r="K7" s="511"/>
      <c r="L7" s="511"/>
      <c r="M7" s="511"/>
      <c r="N7" s="512"/>
      <c r="O7" s="512"/>
      <c r="P7" s="512"/>
      <c r="Q7" s="512"/>
      <c r="R7" s="512"/>
      <c r="S7" s="512"/>
      <c r="T7" s="512">
        <v>364</v>
      </c>
      <c r="U7" s="512">
        <v>10952</v>
      </c>
      <c r="V7" s="512">
        <v>13012</v>
      </c>
      <c r="W7" s="512">
        <v>5393</v>
      </c>
      <c r="X7" s="512">
        <v>1075</v>
      </c>
      <c r="Y7" s="512">
        <v>166</v>
      </c>
      <c r="Z7" s="512"/>
      <c r="AA7" s="513"/>
      <c r="AB7" s="513">
        <v>74625</v>
      </c>
      <c r="AC7" s="513">
        <v>7000.1</v>
      </c>
      <c r="AD7" s="513"/>
      <c r="AE7" s="513"/>
      <c r="AF7" s="513"/>
      <c r="AG7" s="550">
        <f t="shared" si="1"/>
        <v>112587.1</v>
      </c>
      <c r="AH7" s="102"/>
      <c r="AI7" s="102"/>
      <c r="AJ7" s="316"/>
      <c r="AK7" s="316"/>
      <c r="AL7" s="316"/>
      <c r="AM7" s="316"/>
      <c r="AN7" s="316"/>
      <c r="AO7" s="316"/>
    </row>
    <row r="8" spans="1:41" s="211" customFormat="1" x14ac:dyDescent="0.2">
      <c r="A8" s="392">
        <f t="shared" si="0"/>
        <v>5</v>
      </c>
      <c r="B8" s="390" t="s">
        <v>298</v>
      </c>
      <c r="C8" s="393"/>
      <c r="D8" s="393"/>
      <c r="E8" s="511"/>
      <c r="F8" s="511"/>
      <c r="G8" s="511"/>
      <c r="H8" s="511"/>
      <c r="I8" s="511"/>
      <c r="J8" s="511"/>
      <c r="K8" s="511"/>
      <c r="L8" s="511"/>
      <c r="M8" s="511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>
        <v>2395</v>
      </c>
      <c r="Z8" s="512">
        <v>933</v>
      </c>
      <c r="AA8" s="513"/>
      <c r="AB8" s="513"/>
      <c r="AC8" s="513">
        <v>6805</v>
      </c>
      <c r="AD8" s="513">
        <v>16324.7</v>
      </c>
      <c r="AE8" s="513">
        <v>7274.0500000000011</v>
      </c>
      <c r="AF8" s="513"/>
      <c r="AG8" s="550">
        <f t="shared" si="1"/>
        <v>33731.75</v>
      </c>
      <c r="AH8" s="102"/>
      <c r="AI8" s="102"/>
      <c r="AJ8" s="316"/>
      <c r="AK8" s="316"/>
      <c r="AL8" s="316"/>
      <c r="AM8" s="316"/>
      <c r="AN8" s="316"/>
      <c r="AO8" s="316"/>
    </row>
    <row r="9" spans="1:41" s="211" customFormat="1" x14ac:dyDescent="0.2">
      <c r="A9" s="545">
        <f t="shared" si="0"/>
        <v>6</v>
      </c>
      <c r="B9" s="390" t="s">
        <v>334</v>
      </c>
      <c r="C9" s="393"/>
      <c r="D9" s="393"/>
      <c r="E9" s="511"/>
      <c r="F9" s="511"/>
      <c r="G9" s="511"/>
      <c r="H9" s="511"/>
      <c r="I9" s="511"/>
      <c r="J9" s="511"/>
      <c r="K9" s="511"/>
      <c r="L9" s="511"/>
      <c r="M9" s="511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3"/>
      <c r="AB9" s="513"/>
      <c r="AC9" s="513"/>
      <c r="AD9" s="513">
        <v>7815</v>
      </c>
      <c r="AE9" s="513"/>
      <c r="AF9" s="513"/>
      <c r="AG9" s="550">
        <f t="shared" si="1"/>
        <v>7815</v>
      </c>
      <c r="AH9" s="102"/>
      <c r="AI9" s="102"/>
      <c r="AJ9" s="316"/>
      <c r="AK9" s="316"/>
      <c r="AL9" s="316"/>
      <c r="AM9" s="316"/>
      <c r="AN9" s="316"/>
      <c r="AO9" s="316"/>
    </row>
    <row r="10" spans="1:41" s="211" customFormat="1" x14ac:dyDescent="0.2">
      <c r="A10" s="392">
        <f t="shared" si="0"/>
        <v>7</v>
      </c>
      <c r="B10" s="390" t="s">
        <v>179</v>
      </c>
      <c r="C10" s="393"/>
      <c r="D10" s="393"/>
      <c r="E10" s="511"/>
      <c r="F10" s="511"/>
      <c r="G10" s="511"/>
      <c r="H10" s="511"/>
      <c r="I10" s="511"/>
      <c r="J10" s="511"/>
      <c r="K10" s="511"/>
      <c r="L10" s="511"/>
      <c r="M10" s="511"/>
      <c r="N10" s="512"/>
      <c r="O10" s="512"/>
      <c r="P10" s="512"/>
      <c r="Q10" s="512"/>
      <c r="R10" s="512"/>
      <c r="S10" s="512"/>
      <c r="T10" s="512"/>
      <c r="U10" s="512"/>
      <c r="V10" s="512"/>
      <c r="W10" s="512"/>
      <c r="X10" s="512"/>
      <c r="Y10" s="512">
        <v>200</v>
      </c>
      <c r="Z10" s="512"/>
      <c r="AA10" s="513"/>
      <c r="AB10" s="513"/>
      <c r="AC10" s="513"/>
      <c r="AD10" s="513"/>
      <c r="AE10" s="513"/>
      <c r="AF10" s="513"/>
      <c r="AG10" s="550">
        <f t="shared" si="1"/>
        <v>200</v>
      </c>
      <c r="AH10" s="102"/>
      <c r="AI10" s="102"/>
      <c r="AJ10" s="316"/>
      <c r="AK10" s="316"/>
      <c r="AL10" s="316"/>
      <c r="AM10" s="316"/>
      <c r="AN10" s="316"/>
      <c r="AO10" s="316"/>
    </row>
    <row r="11" spans="1:41" s="211" customFormat="1" x14ac:dyDescent="0.2">
      <c r="A11" s="392">
        <f t="shared" si="0"/>
        <v>8</v>
      </c>
      <c r="B11" s="390" t="s">
        <v>119</v>
      </c>
      <c r="C11" s="395"/>
      <c r="D11" s="396"/>
      <c r="E11" s="512"/>
      <c r="F11" s="512"/>
      <c r="G11" s="512"/>
      <c r="H11" s="512"/>
      <c r="I11" s="512"/>
      <c r="J11" s="512">
        <v>2400</v>
      </c>
      <c r="K11" s="512">
        <v>3900</v>
      </c>
      <c r="L11" s="512">
        <v>3300</v>
      </c>
      <c r="M11" s="512">
        <v>37300</v>
      </c>
      <c r="N11" s="512">
        <v>597</v>
      </c>
      <c r="O11" s="512"/>
      <c r="P11" s="512"/>
      <c r="Q11" s="512"/>
      <c r="R11" s="512"/>
      <c r="S11" s="512"/>
      <c r="T11" s="512"/>
      <c r="U11" s="512"/>
      <c r="V11" s="512"/>
      <c r="W11" s="512"/>
      <c r="X11" s="512"/>
      <c r="Y11" s="514" t="s">
        <v>75</v>
      </c>
      <c r="Z11" s="514" t="s">
        <v>75</v>
      </c>
      <c r="AA11" s="515"/>
      <c r="AB11" s="515"/>
      <c r="AC11" s="515"/>
      <c r="AD11" s="515"/>
      <c r="AE11" s="515"/>
      <c r="AF11" s="515"/>
      <c r="AG11" s="550">
        <f t="shared" si="1"/>
        <v>47497</v>
      </c>
      <c r="AH11" s="102"/>
      <c r="AI11" s="102"/>
      <c r="AJ11" s="178"/>
      <c r="AK11" s="178"/>
      <c r="AL11" s="397"/>
      <c r="AM11" s="178"/>
      <c r="AN11" s="178"/>
      <c r="AO11" s="178"/>
    </row>
    <row r="12" spans="1:41" s="211" customFormat="1" ht="13.9" customHeight="1" x14ac:dyDescent="0.2">
      <c r="A12" s="392">
        <f t="shared" ref="A12:A18" si="2">+A11+1</f>
        <v>9</v>
      </c>
      <c r="B12" s="390" t="s">
        <v>120</v>
      </c>
      <c r="C12" s="396"/>
      <c r="D12" s="396"/>
      <c r="E12" s="512"/>
      <c r="F12" s="512"/>
      <c r="G12" s="512"/>
      <c r="H12" s="512"/>
      <c r="I12" s="512"/>
      <c r="J12" s="512">
        <v>24000</v>
      </c>
      <c r="K12" s="512"/>
      <c r="L12" s="512">
        <v>6147</v>
      </c>
      <c r="M12" s="512">
        <v>25</v>
      </c>
      <c r="N12" s="512">
        <v>24</v>
      </c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>
        <v>9</v>
      </c>
      <c r="Z12" s="512"/>
      <c r="AA12" s="513"/>
      <c r="AB12" s="513"/>
      <c r="AC12" s="513"/>
      <c r="AD12" s="513"/>
      <c r="AE12" s="513"/>
      <c r="AF12" s="513"/>
      <c r="AG12" s="550">
        <f t="shared" si="1"/>
        <v>30205</v>
      </c>
      <c r="AH12" s="102"/>
      <c r="AI12" s="102"/>
      <c r="AJ12" s="178"/>
      <c r="AK12" s="178"/>
      <c r="AL12" s="397"/>
      <c r="AM12" s="178"/>
      <c r="AN12" s="178"/>
      <c r="AO12" s="178"/>
    </row>
    <row r="13" spans="1:41" s="211" customFormat="1" x14ac:dyDescent="0.2">
      <c r="A13" s="392">
        <f t="shared" si="2"/>
        <v>10</v>
      </c>
      <c r="B13" s="390" t="s">
        <v>180</v>
      </c>
      <c r="C13" s="396"/>
      <c r="D13" s="393"/>
      <c r="E13" s="511"/>
      <c r="F13" s="511"/>
      <c r="G13" s="511"/>
      <c r="H13" s="511"/>
      <c r="I13" s="511"/>
      <c r="J13" s="511"/>
      <c r="K13" s="511"/>
      <c r="L13" s="511"/>
      <c r="M13" s="511"/>
      <c r="N13" s="512"/>
      <c r="O13" s="512"/>
      <c r="P13" s="512"/>
      <c r="Q13" s="512"/>
      <c r="R13" s="512"/>
      <c r="S13" s="512"/>
      <c r="T13" s="512"/>
      <c r="U13" s="512"/>
      <c r="V13" s="512">
        <v>876</v>
      </c>
      <c r="W13" s="512">
        <v>285</v>
      </c>
      <c r="X13" s="512">
        <v>127.7</v>
      </c>
      <c r="Y13" s="512">
        <v>477</v>
      </c>
      <c r="Z13" s="512">
        <v>15</v>
      </c>
      <c r="AA13" s="513"/>
      <c r="AB13" s="513"/>
      <c r="AC13" s="513"/>
      <c r="AD13" s="513"/>
      <c r="AE13" s="513"/>
      <c r="AF13" s="513"/>
      <c r="AG13" s="550">
        <f t="shared" si="1"/>
        <v>1780.7</v>
      </c>
      <c r="AH13" s="102"/>
      <c r="AI13" s="102"/>
      <c r="AJ13" s="178"/>
      <c r="AK13" s="178"/>
      <c r="AL13" s="397"/>
      <c r="AM13" s="398"/>
      <c r="AN13" s="178"/>
      <c r="AO13" s="178"/>
    </row>
    <row r="14" spans="1:41" s="211" customFormat="1" x14ac:dyDescent="0.2">
      <c r="A14" s="392">
        <f t="shared" si="2"/>
        <v>11</v>
      </c>
      <c r="B14" s="390" t="s">
        <v>181</v>
      </c>
      <c r="C14" s="396"/>
      <c r="D14" s="393"/>
      <c r="E14" s="511"/>
      <c r="F14" s="511"/>
      <c r="G14" s="511"/>
      <c r="H14" s="511"/>
      <c r="I14" s="511"/>
      <c r="J14" s="511"/>
      <c r="K14" s="511"/>
      <c r="L14" s="511"/>
      <c r="M14" s="511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3"/>
      <c r="AB14" s="513"/>
      <c r="AC14" s="513"/>
      <c r="AD14" s="513"/>
      <c r="AE14" s="513"/>
      <c r="AF14" s="513"/>
      <c r="AG14" s="550">
        <f t="shared" si="1"/>
        <v>0</v>
      </c>
      <c r="AH14" s="102"/>
      <c r="AI14" s="102"/>
      <c r="AJ14" s="178"/>
      <c r="AK14" s="178"/>
      <c r="AL14" s="397"/>
      <c r="AM14" s="398"/>
      <c r="AN14" s="178"/>
      <c r="AO14" s="178"/>
    </row>
    <row r="15" spans="1:41" s="211" customFormat="1" x14ac:dyDescent="0.2">
      <c r="A15" s="392">
        <f t="shared" si="2"/>
        <v>12</v>
      </c>
      <c r="B15" s="390" t="s">
        <v>205</v>
      </c>
      <c r="C15" s="396"/>
      <c r="D15" s="393"/>
      <c r="E15" s="511"/>
      <c r="F15" s="511"/>
      <c r="G15" s="511"/>
      <c r="H15" s="511"/>
      <c r="I15" s="511"/>
      <c r="J15" s="511"/>
      <c r="K15" s="511"/>
      <c r="L15" s="511"/>
      <c r="M15" s="511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>
        <v>419108</v>
      </c>
      <c r="AA15" s="513">
        <v>246828.65658000001</v>
      </c>
      <c r="AB15" s="513">
        <v>210720</v>
      </c>
      <c r="AC15" s="513">
        <v>102043.80395</v>
      </c>
      <c r="AD15" s="513"/>
      <c r="AE15" s="513"/>
      <c r="AF15" s="513"/>
      <c r="AG15" s="550">
        <f t="shared" si="1"/>
        <v>978700.46052999992</v>
      </c>
      <c r="AH15" s="102"/>
      <c r="AI15" s="102"/>
      <c r="AJ15" s="178"/>
      <c r="AK15" s="178"/>
      <c r="AL15" s="397"/>
      <c r="AM15" s="398"/>
      <c r="AN15" s="178"/>
      <c r="AO15" s="178"/>
    </row>
    <row r="16" spans="1:41" s="211" customFormat="1" x14ac:dyDescent="0.2">
      <c r="A16" s="392">
        <f t="shared" si="2"/>
        <v>13</v>
      </c>
      <c r="B16" s="390" t="s">
        <v>204</v>
      </c>
      <c r="C16" s="393"/>
      <c r="D16" s="396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>
        <v>668</v>
      </c>
      <c r="W16" s="512">
        <v>999</v>
      </c>
      <c r="X16" s="512">
        <v>1455.5</v>
      </c>
      <c r="Y16" s="512">
        <v>673.3</v>
      </c>
      <c r="Z16" s="512">
        <v>1809.8</v>
      </c>
      <c r="AA16" s="513">
        <v>4717.46156485558</v>
      </c>
      <c r="AB16" s="513">
        <v>1493.9409852570489</v>
      </c>
      <c r="AC16" s="513">
        <v>105.4</v>
      </c>
      <c r="AD16" s="513">
        <v>103.34553534661404</v>
      </c>
      <c r="AE16" s="513">
        <v>1109.3295147697852</v>
      </c>
      <c r="AF16" s="513"/>
      <c r="AG16" s="550">
        <f t="shared" si="1"/>
        <v>13135.077600229028</v>
      </c>
      <c r="AH16" s="102"/>
      <c r="AI16" s="102"/>
      <c r="AJ16" s="178"/>
      <c r="AK16" s="178"/>
      <c r="AL16" s="397"/>
      <c r="AM16" s="398"/>
      <c r="AN16" s="178"/>
      <c r="AO16" s="178"/>
    </row>
    <row r="17" spans="1:41" s="211" customFormat="1" x14ac:dyDescent="0.2">
      <c r="A17" s="392">
        <f t="shared" si="2"/>
        <v>14</v>
      </c>
      <c r="B17" s="390" t="s">
        <v>274</v>
      </c>
      <c r="C17" s="396"/>
      <c r="D17" s="396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>
        <v>21912</v>
      </c>
      <c r="T17" s="512">
        <v>87705</v>
      </c>
      <c r="U17" s="512">
        <v>114259</v>
      </c>
      <c r="V17" s="512">
        <v>52970</v>
      </c>
      <c r="W17" s="512">
        <v>5176</v>
      </c>
      <c r="X17" s="512">
        <v>1669</v>
      </c>
      <c r="Y17" s="512">
        <v>4709</v>
      </c>
      <c r="Z17" s="512"/>
      <c r="AA17" s="513">
        <v>8230.5</v>
      </c>
      <c r="AB17" s="513">
        <v>3634.2000000000003</v>
      </c>
      <c r="AC17" s="513">
        <v>1964.6</v>
      </c>
      <c r="AD17" s="513">
        <v>1221.8</v>
      </c>
      <c r="AE17" s="513"/>
      <c r="AF17" s="513">
        <v>6359.3</v>
      </c>
      <c r="AG17" s="550">
        <f t="shared" si="1"/>
        <v>309810.39999999997</v>
      </c>
      <c r="AH17" s="102"/>
      <c r="AI17" s="102"/>
      <c r="AJ17" s="178"/>
      <c r="AK17" s="178"/>
      <c r="AL17" s="397"/>
      <c r="AM17" s="398"/>
      <c r="AN17" s="178"/>
      <c r="AO17" s="178"/>
    </row>
    <row r="18" spans="1:41" s="211" customFormat="1" x14ac:dyDescent="0.2">
      <c r="A18" s="392">
        <f t="shared" si="2"/>
        <v>15</v>
      </c>
      <c r="B18" s="390" t="s">
        <v>303</v>
      </c>
      <c r="C18" s="396"/>
      <c r="D18" s="396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13"/>
      <c r="AC18" s="513">
        <v>6860</v>
      </c>
      <c r="AD18" s="513"/>
      <c r="AE18" s="513"/>
      <c r="AF18" s="513"/>
      <c r="AG18" s="550">
        <f t="shared" si="1"/>
        <v>6860</v>
      </c>
      <c r="AH18" s="102"/>
      <c r="AI18" s="102"/>
      <c r="AJ18" s="178"/>
      <c r="AK18" s="178"/>
      <c r="AL18" s="397"/>
      <c r="AM18" s="398"/>
      <c r="AN18" s="178"/>
      <c r="AO18" s="178"/>
    </row>
    <row r="19" spans="1:41" s="211" customFormat="1" x14ac:dyDescent="0.2">
      <c r="A19" s="392">
        <f>A18+1</f>
        <v>16</v>
      </c>
      <c r="B19" s="390" t="s">
        <v>335</v>
      </c>
      <c r="C19" s="396"/>
      <c r="D19" s="396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2"/>
      <c r="Z19" s="512"/>
      <c r="AA19" s="513"/>
      <c r="AB19" s="513"/>
      <c r="AC19" s="513"/>
      <c r="AD19" s="513">
        <v>22955.784</v>
      </c>
      <c r="AE19" s="513"/>
      <c r="AF19" s="513"/>
      <c r="AG19" s="550">
        <f t="shared" si="1"/>
        <v>22955.784</v>
      </c>
      <c r="AH19" s="102"/>
      <c r="AI19" s="102"/>
      <c r="AJ19" s="178"/>
      <c r="AK19" s="178"/>
      <c r="AL19" s="397"/>
      <c r="AM19" s="398"/>
      <c r="AN19" s="178"/>
      <c r="AO19" s="178"/>
    </row>
    <row r="20" spans="1:41" s="211" customFormat="1" x14ac:dyDescent="0.2">
      <c r="A20" s="392">
        <f>+A19+1</f>
        <v>17</v>
      </c>
      <c r="B20" s="390" t="s">
        <v>299</v>
      </c>
      <c r="C20" s="89"/>
      <c r="D20" s="89"/>
      <c r="E20" s="516"/>
      <c r="F20" s="516"/>
      <c r="G20" s="516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3"/>
      <c r="AB20" s="513">
        <v>2440</v>
      </c>
      <c r="AC20" s="513">
        <v>837.5</v>
      </c>
      <c r="AD20" s="513"/>
      <c r="AE20" s="513">
        <v>275</v>
      </c>
      <c r="AF20" s="513"/>
      <c r="AG20" s="550">
        <f t="shared" si="1"/>
        <v>3552.5</v>
      </c>
      <c r="AH20" s="102"/>
      <c r="AI20" s="102"/>
      <c r="AJ20" s="178"/>
      <c r="AK20" s="178"/>
      <c r="AL20" s="397"/>
      <c r="AM20" s="398"/>
      <c r="AN20" s="178"/>
      <c r="AO20" s="178"/>
    </row>
    <row r="21" spans="1:41" s="211" customFormat="1" x14ac:dyDescent="0.2">
      <c r="A21" s="392">
        <f>A20+1</f>
        <v>18</v>
      </c>
      <c r="B21" s="390" t="s">
        <v>275</v>
      </c>
      <c r="C21" s="396"/>
      <c r="D21" s="396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>
        <v>800</v>
      </c>
      <c r="W21" s="512">
        <v>950</v>
      </c>
      <c r="X21" s="512">
        <v>1500</v>
      </c>
      <c r="Y21" s="512">
        <v>200</v>
      </c>
      <c r="Z21" s="512">
        <v>350</v>
      </c>
      <c r="AA21" s="513">
        <v>400</v>
      </c>
      <c r="AB21" s="513">
        <v>2175</v>
      </c>
      <c r="AC21" s="513">
        <v>2530</v>
      </c>
      <c r="AD21" s="513">
        <v>5566.0000000000027</v>
      </c>
      <c r="AE21" s="513"/>
      <c r="AF21" s="513"/>
      <c r="AG21" s="550">
        <f t="shared" si="1"/>
        <v>14471.000000000004</v>
      </c>
      <c r="AH21" s="102"/>
      <c r="AI21" s="102"/>
      <c r="AJ21" s="178"/>
      <c r="AK21" s="178"/>
      <c r="AL21" s="397"/>
      <c r="AM21" s="398"/>
      <c r="AN21" s="178"/>
      <c r="AO21" s="178"/>
    </row>
    <row r="22" spans="1:41" s="211" customFormat="1" x14ac:dyDescent="0.2">
      <c r="A22" s="392">
        <f t="shared" ref="A22:A28" si="3">+A21+1</f>
        <v>19</v>
      </c>
      <c r="B22" s="390" t="s">
        <v>121</v>
      </c>
      <c r="C22" s="396"/>
      <c r="D22" s="396"/>
      <c r="E22" s="512"/>
      <c r="F22" s="512"/>
      <c r="G22" s="512"/>
      <c r="H22" s="512"/>
      <c r="I22" s="512">
        <v>521</v>
      </c>
      <c r="J22" s="512">
        <v>19214</v>
      </c>
      <c r="K22" s="512">
        <v>42870</v>
      </c>
      <c r="L22" s="512">
        <v>37036</v>
      </c>
      <c r="M22" s="512">
        <v>26544</v>
      </c>
      <c r="N22" s="512">
        <v>12531</v>
      </c>
      <c r="O22" s="512">
        <v>5340</v>
      </c>
      <c r="P22" s="512">
        <v>2585</v>
      </c>
      <c r="Q22" s="512">
        <v>3537</v>
      </c>
      <c r="R22" s="512">
        <v>2885</v>
      </c>
      <c r="S22" s="512">
        <v>3945</v>
      </c>
      <c r="T22" s="512">
        <v>10410</v>
      </c>
      <c r="U22" s="512">
        <v>50137</v>
      </c>
      <c r="V22" s="512">
        <v>59756</v>
      </c>
      <c r="W22" s="512">
        <v>14857</v>
      </c>
      <c r="X22" s="512">
        <v>2327</v>
      </c>
      <c r="Y22" s="512">
        <v>4851</v>
      </c>
      <c r="Z22" s="512">
        <v>5951</v>
      </c>
      <c r="AA22" s="513">
        <v>4268.6495340000001</v>
      </c>
      <c r="AB22" s="513">
        <v>5522.489246000001</v>
      </c>
      <c r="AC22" s="513">
        <v>5522.8819970000004</v>
      </c>
      <c r="AD22" s="513">
        <v>2887.2799999999997</v>
      </c>
      <c r="AE22" s="513"/>
      <c r="AF22" s="513"/>
      <c r="AG22" s="550">
        <f t="shared" si="1"/>
        <v>323498.30077700008</v>
      </c>
      <c r="AH22" s="102"/>
      <c r="AI22" s="102"/>
      <c r="AJ22" s="397"/>
      <c r="AK22" s="397"/>
      <c r="AL22" s="397"/>
      <c r="AM22" s="398"/>
      <c r="AN22" s="178"/>
      <c r="AO22" s="178"/>
    </row>
    <row r="23" spans="1:41" s="211" customFormat="1" x14ac:dyDescent="0.2">
      <c r="A23" s="392">
        <f t="shared" si="3"/>
        <v>20</v>
      </c>
      <c r="B23" s="390" t="s">
        <v>182</v>
      </c>
      <c r="C23" s="396"/>
      <c r="D23" s="396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12"/>
      <c r="X23" s="512"/>
      <c r="Y23" s="512">
        <v>58</v>
      </c>
      <c r="Z23" s="512"/>
      <c r="AA23" s="513"/>
      <c r="AB23" s="513"/>
      <c r="AC23" s="513"/>
      <c r="AD23" s="513"/>
      <c r="AE23" s="513"/>
      <c r="AF23" s="513"/>
      <c r="AG23" s="550">
        <f t="shared" si="1"/>
        <v>58</v>
      </c>
      <c r="AH23" s="102"/>
      <c r="AI23" s="102"/>
      <c r="AJ23" s="397"/>
      <c r="AK23" s="397"/>
      <c r="AL23" s="397"/>
      <c r="AM23" s="398"/>
      <c r="AN23" s="178"/>
      <c r="AO23" s="178"/>
    </row>
    <row r="24" spans="1:41" s="211" customFormat="1" x14ac:dyDescent="0.2">
      <c r="A24" s="392">
        <f t="shared" si="3"/>
        <v>21</v>
      </c>
      <c r="B24" s="390" t="s">
        <v>304</v>
      </c>
      <c r="C24" s="396"/>
      <c r="D24" s="396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  <c r="W24" s="512"/>
      <c r="X24" s="512"/>
      <c r="Y24" s="512"/>
      <c r="Z24" s="512"/>
      <c r="AA24" s="513"/>
      <c r="AB24" s="513"/>
      <c r="AC24" s="513">
        <v>4734</v>
      </c>
      <c r="AD24" s="513">
        <v>4179.12</v>
      </c>
      <c r="AE24" s="513">
        <v>1583</v>
      </c>
      <c r="AF24" s="513"/>
      <c r="AG24" s="550">
        <f t="shared" si="1"/>
        <v>10496.119999999999</v>
      </c>
      <c r="AH24" s="102"/>
      <c r="AI24" s="102"/>
      <c r="AJ24" s="397"/>
      <c r="AK24" s="397"/>
      <c r="AL24" s="397"/>
      <c r="AM24" s="398"/>
      <c r="AN24" s="178"/>
      <c r="AO24" s="178"/>
    </row>
    <row r="25" spans="1:41" s="211" customFormat="1" x14ac:dyDescent="0.2">
      <c r="A25" s="392">
        <f t="shared" si="3"/>
        <v>22</v>
      </c>
      <c r="B25" s="390" t="s">
        <v>305</v>
      </c>
      <c r="C25" s="396"/>
      <c r="D25" s="396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13"/>
      <c r="AC25" s="513">
        <v>4115.8</v>
      </c>
      <c r="AD25" s="513"/>
      <c r="AE25" s="513"/>
      <c r="AF25" s="513"/>
      <c r="AG25" s="550">
        <f t="shared" si="1"/>
        <v>4115.8</v>
      </c>
      <c r="AH25" s="102"/>
      <c r="AI25" s="102"/>
      <c r="AJ25" s="397"/>
      <c r="AK25" s="178"/>
      <c r="AL25" s="178"/>
      <c r="AM25" s="398"/>
      <c r="AN25" s="178"/>
      <c r="AO25" s="178"/>
    </row>
    <row r="26" spans="1:41" s="211" customFormat="1" x14ac:dyDescent="0.2">
      <c r="A26" s="392">
        <f t="shared" si="3"/>
        <v>23</v>
      </c>
      <c r="B26" s="390" t="s">
        <v>183</v>
      </c>
      <c r="C26" s="396"/>
      <c r="D26" s="396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2"/>
      <c r="X26" s="512"/>
      <c r="Y26" s="512">
        <v>25696</v>
      </c>
      <c r="Z26" s="512">
        <v>8895</v>
      </c>
      <c r="AA26" s="513">
        <v>57</v>
      </c>
      <c r="AB26" s="513"/>
      <c r="AC26" s="513"/>
      <c r="AD26" s="513"/>
      <c r="AE26" s="513"/>
      <c r="AF26" s="513"/>
      <c r="AG26" s="550">
        <f t="shared" si="1"/>
        <v>34648</v>
      </c>
      <c r="AH26" s="102"/>
      <c r="AI26" s="102"/>
      <c r="AJ26" s="397"/>
      <c r="AK26" s="178"/>
      <c r="AL26" s="178"/>
      <c r="AM26" s="398"/>
      <c r="AN26" s="178"/>
      <c r="AO26" s="178"/>
    </row>
    <row r="27" spans="1:41" s="211" customFormat="1" x14ac:dyDescent="0.2">
      <c r="A27" s="392">
        <f t="shared" si="3"/>
        <v>24</v>
      </c>
      <c r="B27" s="390" t="s">
        <v>184</v>
      </c>
      <c r="C27" s="396"/>
      <c r="D27" s="396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2"/>
      <c r="V27" s="512"/>
      <c r="W27" s="512">
        <v>1349</v>
      </c>
      <c r="X27" s="512">
        <v>96442</v>
      </c>
      <c r="Y27" s="512">
        <v>750</v>
      </c>
      <c r="Z27" s="512"/>
      <c r="AA27" s="513"/>
      <c r="AB27" s="513"/>
      <c r="AC27" s="513"/>
      <c r="AD27" s="513"/>
      <c r="AE27" s="513"/>
      <c r="AF27" s="513"/>
      <c r="AG27" s="550">
        <f t="shared" si="1"/>
        <v>98541</v>
      </c>
      <c r="AH27" s="102"/>
      <c r="AI27" s="102"/>
      <c r="AJ27" s="397"/>
      <c r="AK27" s="178"/>
      <c r="AL27" s="178"/>
      <c r="AM27" s="398"/>
      <c r="AN27" s="178"/>
      <c r="AO27" s="178"/>
    </row>
    <row r="28" spans="1:41" s="211" customFormat="1" x14ac:dyDescent="0.2">
      <c r="A28" s="392">
        <f t="shared" si="3"/>
        <v>25</v>
      </c>
      <c r="B28" s="390" t="s">
        <v>122</v>
      </c>
      <c r="C28" s="89"/>
      <c r="D28" s="89"/>
      <c r="E28" s="516"/>
      <c r="F28" s="516"/>
      <c r="G28" s="516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>
        <v>1873</v>
      </c>
      <c r="U28" s="512">
        <v>2389</v>
      </c>
      <c r="V28" s="512">
        <v>1062</v>
      </c>
      <c r="W28" s="512">
        <v>744</v>
      </c>
      <c r="X28" s="512">
        <v>13714</v>
      </c>
      <c r="Y28" s="512">
        <v>2451</v>
      </c>
      <c r="Z28" s="512"/>
      <c r="AA28" s="513"/>
      <c r="AB28" s="513"/>
      <c r="AC28" s="513"/>
      <c r="AD28" s="513"/>
      <c r="AE28" s="513"/>
      <c r="AF28" s="513"/>
      <c r="AG28" s="550">
        <f t="shared" si="1"/>
        <v>22233</v>
      </c>
      <c r="AH28" s="102"/>
      <c r="AI28" s="102"/>
      <c r="AJ28" s="397"/>
      <c r="AK28" s="178"/>
      <c r="AL28" s="178"/>
      <c r="AM28" s="398"/>
      <c r="AN28" s="178"/>
      <c r="AO28" s="178"/>
    </row>
    <row r="29" spans="1:41" s="211" customFormat="1" x14ac:dyDescent="0.2">
      <c r="A29" s="392">
        <f>A28+1</f>
        <v>26</v>
      </c>
      <c r="B29" s="390" t="s">
        <v>336</v>
      </c>
      <c r="C29" s="89"/>
      <c r="D29" s="89"/>
      <c r="E29" s="516"/>
      <c r="F29" s="516"/>
      <c r="G29" s="516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3"/>
      <c r="AB29" s="513"/>
      <c r="AC29" s="513"/>
      <c r="AD29" s="513">
        <v>11222.000000000002</v>
      </c>
      <c r="AE29" s="513">
        <v>17303.600000000002</v>
      </c>
      <c r="AF29" s="513"/>
      <c r="AG29" s="550">
        <f t="shared" si="1"/>
        <v>28525.600000000006</v>
      </c>
      <c r="AH29" s="102"/>
      <c r="AI29" s="102"/>
      <c r="AJ29" s="397"/>
      <c r="AK29" s="178"/>
      <c r="AL29" s="178"/>
      <c r="AM29" s="398"/>
      <c r="AN29" s="178"/>
      <c r="AO29" s="178"/>
    </row>
    <row r="30" spans="1:41" s="211" customFormat="1" x14ac:dyDescent="0.2">
      <c r="A30" s="392">
        <f>A29+1</f>
        <v>27</v>
      </c>
      <c r="B30" s="390" t="s">
        <v>123</v>
      </c>
      <c r="C30" s="89"/>
      <c r="D30" s="89"/>
      <c r="E30" s="516"/>
      <c r="F30" s="516"/>
      <c r="G30" s="516"/>
      <c r="H30" s="512"/>
      <c r="I30" s="512"/>
      <c r="J30" s="512"/>
      <c r="K30" s="512">
        <v>160</v>
      </c>
      <c r="L30" s="512">
        <v>352</v>
      </c>
      <c r="M30" s="512">
        <v>1255</v>
      </c>
      <c r="N30" s="512">
        <v>50.1</v>
      </c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3"/>
      <c r="AB30" s="513"/>
      <c r="AC30" s="513"/>
      <c r="AD30" s="513"/>
      <c r="AE30" s="513"/>
      <c r="AF30" s="513"/>
      <c r="AG30" s="550">
        <f t="shared" si="1"/>
        <v>1817.1</v>
      </c>
      <c r="AH30" s="102"/>
      <c r="AI30" s="102"/>
      <c r="AJ30" s="397"/>
      <c r="AK30" s="178"/>
      <c r="AL30" s="178"/>
      <c r="AM30" s="398"/>
      <c r="AN30" s="178"/>
      <c r="AO30" s="178"/>
    </row>
    <row r="31" spans="1:41" s="211" customFormat="1" ht="14.25" x14ac:dyDescent="0.2">
      <c r="A31" s="392">
        <f t="shared" ref="A31:A75" si="4">+A30+1</f>
        <v>28</v>
      </c>
      <c r="B31" s="390" t="s">
        <v>316</v>
      </c>
      <c r="C31" s="89"/>
      <c r="D31" s="89"/>
      <c r="E31" s="516"/>
      <c r="F31" s="516"/>
      <c r="G31" s="516"/>
      <c r="H31" s="512"/>
      <c r="I31" s="512">
        <v>50</v>
      </c>
      <c r="J31" s="512">
        <v>196</v>
      </c>
      <c r="K31" s="512">
        <v>281</v>
      </c>
      <c r="L31" s="512">
        <v>104</v>
      </c>
      <c r="M31" s="512">
        <v>388</v>
      </c>
      <c r="N31" s="512">
        <v>0</v>
      </c>
      <c r="O31" s="512"/>
      <c r="P31" s="512"/>
      <c r="Q31" s="512"/>
      <c r="R31" s="512"/>
      <c r="S31" s="512">
        <v>597</v>
      </c>
      <c r="T31" s="512">
        <v>71</v>
      </c>
      <c r="U31" s="512">
        <v>2690</v>
      </c>
      <c r="V31" s="512">
        <v>851</v>
      </c>
      <c r="W31" s="514" t="s">
        <v>75</v>
      </c>
      <c r="X31" s="514" t="s">
        <v>75</v>
      </c>
      <c r="Y31" s="514" t="s">
        <v>75</v>
      </c>
      <c r="Z31" s="514" t="s">
        <v>75</v>
      </c>
      <c r="AA31" s="515"/>
      <c r="AB31" s="515"/>
      <c r="AC31" s="515"/>
      <c r="AD31" s="515"/>
      <c r="AE31" s="515"/>
      <c r="AF31" s="515"/>
      <c r="AG31" s="550">
        <f t="shared" si="1"/>
        <v>5228</v>
      </c>
      <c r="AH31" s="102"/>
      <c r="AI31" s="102"/>
      <c r="AJ31" s="397"/>
      <c r="AK31" s="178"/>
      <c r="AL31" s="178"/>
      <c r="AM31" s="398"/>
      <c r="AN31" s="178"/>
      <c r="AO31" s="178"/>
    </row>
    <row r="32" spans="1:41" s="211" customFormat="1" x14ac:dyDescent="0.2">
      <c r="A32" s="392">
        <f t="shared" si="4"/>
        <v>29</v>
      </c>
      <c r="B32" s="390" t="s">
        <v>276</v>
      </c>
      <c r="C32" s="89"/>
      <c r="D32" s="89"/>
      <c r="E32" s="516"/>
      <c r="F32" s="516"/>
      <c r="G32" s="516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4"/>
      <c r="X32" s="514"/>
      <c r="Y32" s="514"/>
      <c r="Z32" s="514"/>
      <c r="AA32" s="515">
        <v>2500</v>
      </c>
      <c r="AB32" s="515">
        <v>5768.9732999999997</v>
      </c>
      <c r="AC32" s="515">
        <v>13536.9</v>
      </c>
      <c r="AD32" s="515"/>
      <c r="AE32" s="515"/>
      <c r="AF32" s="515"/>
      <c r="AG32" s="550">
        <f t="shared" si="1"/>
        <v>21805.873299999999</v>
      </c>
      <c r="AH32" s="102"/>
      <c r="AI32" s="102"/>
      <c r="AJ32" s="397"/>
      <c r="AK32" s="178"/>
      <c r="AL32" s="178"/>
      <c r="AM32" s="398"/>
      <c r="AN32" s="178"/>
      <c r="AO32" s="178"/>
    </row>
    <row r="33" spans="1:41" s="211" customFormat="1" x14ac:dyDescent="0.2">
      <c r="A33" s="392">
        <f t="shared" si="4"/>
        <v>30</v>
      </c>
      <c r="B33" s="390" t="s">
        <v>124</v>
      </c>
      <c r="C33" s="89"/>
      <c r="D33" s="89"/>
      <c r="E33" s="516"/>
      <c r="F33" s="516"/>
      <c r="G33" s="516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>
        <v>630</v>
      </c>
      <c r="T33" s="512"/>
      <c r="U33" s="512">
        <v>3331</v>
      </c>
      <c r="V33" s="512">
        <v>1593</v>
      </c>
      <c r="W33" s="512">
        <v>24698</v>
      </c>
      <c r="X33" s="512">
        <v>150365</v>
      </c>
      <c r="Y33" s="512">
        <v>127994</v>
      </c>
      <c r="Z33" s="512">
        <v>159724</v>
      </c>
      <c r="AA33" s="513">
        <v>52511</v>
      </c>
      <c r="AB33" s="513"/>
      <c r="AC33" s="513"/>
      <c r="AD33" s="513"/>
      <c r="AE33" s="513"/>
      <c r="AF33" s="513"/>
      <c r="AG33" s="550">
        <f t="shared" si="1"/>
        <v>520846</v>
      </c>
      <c r="AH33" s="102"/>
      <c r="AI33" s="102"/>
      <c r="AJ33" s="397"/>
      <c r="AK33" s="178"/>
      <c r="AL33" s="178"/>
      <c r="AM33" s="398"/>
      <c r="AN33" s="178"/>
      <c r="AO33" s="178"/>
    </row>
    <row r="34" spans="1:41" s="211" customFormat="1" x14ac:dyDescent="0.2">
      <c r="A34" s="392">
        <f t="shared" si="4"/>
        <v>31</v>
      </c>
      <c r="B34" s="390" t="s">
        <v>306</v>
      </c>
      <c r="C34" s="396"/>
      <c r="D34" s="396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3"/>
      <c r="AB34" s="513"/>
      <c r="AC34" s="513">
        <v>1544.4</v>
      </c>
      <c r="AD34" s="513">
        <v>156.79999999999995</v>
      </c>
      <c r="AE34" s="513"/>
      <c r="AF34" s="513"/>
      <c r="AG34" s="550">
        <f t="shared" si="1"/>
        <v>1701.2</v>
      </c>
      <c r="AH34" s="102"/>
      <c r="AI34" s="102"/>
      <c r="AJ34" s="397"/>
      <c r="AK34" s="178"/>
      <c r="AL34" s="178"/>
      <c r="AM34" s="398"/>
      <c r="AN34" s="178"/>
      <c r="AO34" s="178"/>
    </row>
    <row r="35" spans="1:41" s="211" customFormat="1" x14ac:dyDescent="0.2">
      <c r="A35" s="392">
        <f t="shared" si="4"/>
        <v>32</v>
      </c>
      <c r="B35" s="390" t="s">
        <v>277</v>
      </c>
      <c r="C35" s="89"/>
      <c r="D35" s="89"/>
      <c r="E35" s="516"/>
      <c r="F35" s="516"/>
      <c r="G35" s="516"/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2"/>
      <c r="U35" s="512"/>
      <c r="V35" s="512"/>
      <c r="W35" s="512"/>
      <c r="X35" s="512"/>
      <c r="Y35" s="512"/>
      <c r="Z35" s="512"/>
      <c r="AA35" s="513">
        <v>16675</v>
      </c>
      <c r="AB35" s="513">
        <v>30884</v>
      </c>
      <c r="AC35" s="513">
        <v>30884</v>
      </c>
      <c r="AD35" s="513">
        <v>890.24</v>
      </c>
      <c r="AE35" s="513"/>
      <c r="AF35" s="513"/>
      <c r="AG35" s="550">
        <f t="shared" si="1"/>
        <v>79333.240000000005</v>
      </c>
      <c r="AH35" s="102"/>
      <c r="AI35" s="102"/>
      <c r="AJ35" s="397"/>
      <c r="AK35" s="178"/>
      <c r="AL35" s="178"/>
      <c r="AM35" s="398"/>
      <c r="AN35" s="178"/>
      <c r="AO35" s="178"/>
    </row>
    <row r="36" spans="1:41" s="211" customFormat="1" x14ac:dyDescent="0.2">
      <c r="A36" s="392">
        <f t="shared" si="4"/>
        <v>33</v>
      </c>
      <c r="B36" s="390" t="s">
        <v>125</v>
      </c>
      <c r="C36" s="89"/>
      <c r="D36" s="89"/>
      <c r="E36" s="516"/>
      <c r="F36" s="516"/>
      <c r="G36" s="516"/>
      <c r="H36" s="512"/>
      <c r="I36" s="512"/>
      <c r="J36" s="512"/>
      <c r="K36" s="512"/>
      <c r="L36" s="512"/>
      <c r="M36" s="512"/>
      <c r="N36" s="512">
        <v>2965</v>
      </c>
      <c r="O36" s="512">
        <v>1275</v>
      </c>
      <c r="P36" s="512"/>
      <c r="Q36" s="512">
        <v>180</v>
      </c>
      <c r="R36" s="512">
        <v>220</v>
      </c>
      <c r="S36" s="512">
        <v>260</v>
      </c>
      <c r="T36" s="512"/>
      <c r="U36" s="512"/>
      <c r="V36" s="512"/>
      <c r="W36" s="512"/>
      <c r="X36" s="512"/>
      <c r="Y36" s="512"/>
      <c r="Z36" s="512">
        <v>62750</v>
      </c>
      <c r="AA36" s="513"/>
      <c r="AB36" s="513"/>
      <c r="AC36" s="513"/>
      <c r="AD36" s="513"/>
      <c r="AE36" s="513"/>
      <c r="AF36" s="513"/>
      <c r="AG36" s="550">
        <f t="shared" si="1"/>
        <v>67650</v>
      </c>
      <c r="AH36" s="102"/>
      <c r="AI36" s="102"/>
      <c r="AJ36" s="397"/>
      <c r="AK36" s="178"/>
      <c r="AL36" s="178"/>
      <c r="AM36" s="398"/>
      <c r="AN36" s="178"/>
      <c r="AO36" s="178"/>
    </row>
    <row r="37" spans="1:41" s="211" customFormat="1" x14ac:dyDescent="0.2">
      <c r="A37" s="392">
        <f t="shared" si="4"/>
        <v>34</v>
      </c>
      <c r="B37" s="390" t="s">
        <v>307</v>
      </c>
      <c r="C37" s="396"/>
      <c r="D37" s="396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3"/>
      <c r="AB37" s="513"/>
      <c r="AC37" s="513">
        <v>21500</v>
      </c>
      <c r="AD37" s="513"/>
      <c r="AE37" s="513"/>
      <c r="AF37" s="513"/>
      <c r="AG37" s="550">
        <f t="shared" si="1"/>
        <v>21500</v>
      </c>
      <c r="AH37" s="102"/>
      <c r="AI37" s="102"/>
      <c r="AJ37" s="397"/>
      <c r="AK37" s="178"/>
      <c r="AL37" s="178"/>
      <c r="AM37" s="398"/>
      <c r="AN37" s="178"/>
      <c r="AO37" s="178"/>
    </row>
    <row r="38" spans="1:41" s="211" customFormat="1" x14ac:dyDescent="0.2">
      <c r="A38" s="392">
        <f t="shared" si="4"/>
        <v>35</v>
      </c>
      <c r="B38" s="390" t="s">
        <v>260</v>
      </c>
      <c r="C38" s="396"/>
      <c r="D38" s="396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3"/>
      <c r="AB38" s="513">
        <v>1763.9999999999998</v>
      </c>
      <c r="AC38" s="513">
        <v>24104.5</v>
      </c>
      <c r="AD38" s="513">
        <v>5593.2</v>
      </c>
      <c r="AE38" s="513">
        <v>141.60000000000011</v>
      </c>
      <c r="AF38" s="513"/>
      <c r="AG38" s="550">
        <f t="shared" si="1"/>
        <v>31603.3</v>
      </c>
      <c r="AH38" s="102"/>
      <c r="AI38" s="102"/>
      <c r="AJ38" s="397"/>
      <c r="AK38" s="397"/>
      <c r="AL38" s="178"/>
      <c r="AM38" s="398"/>
      <c r="AN38" s="178"/>
      <c r="AO38" s="178"/>
    </row>
    <row r="39" spans="1:41" s="211" customFormat="1" x14ac:dyDescent="0.2">
      <c r="A39" s="392">
        <f t="shared" si="4"/>
        <v>36</v>
      </c>
      <c r="B39" s="390" t="s">
        <v>308</v>
      </c>
      <c r="C39" s="396"/>
      <c r="D39" s="396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2"/>
      <c r="Q39" s="512"/>
      <c r="R39" s="512"/>
      <c r="S39" s="512"/>
      <c r="T39" s="512"/>
      <c r="U39" s="512"/>
      <c r="V39" s="512"/>
      <c r="W39" s="512"/>
      <c r="X39" s="512"/>
      <c r="Y39" s="512"/>
      <c r="Z39" s="512"/>
      <c r="AA39" s="513"/>
      <c r="AB39" s="513"/>
      <c r="AC39" s="513">
        <v>9288</v>
      </c>
      <c r="AD39" s="513">
        <v>13190.850000000002</v>
      </c>
      <c r="AE39" s="513">
        <v>4545.300000000002</v>
      </c>
      <c r="AF39" s="513"/>
      <c r="AG39" s="550">
        <f t="shared" si="1"/>
        <v>27024.150000000005</v>
      </c>
      <c r="AH39" s="102"/>
      <c r="AI39" s="102"/>
      <c r="AJ39" s="397"/>
      <c r="AK39" s="397"/>
      <c r="AL39" s="397"/>
      <c r="AM39" s="178"/>
      <c r="AN39" s="178"/>
      <c r="AO39" s="178"/>
    </row>
    <row r="40" spans="1:41" s="211" customFormat="1" x14ac:dyDescent="0.2">
      <c r="A40" s="392">
        <f t="shared" si="4"/>
        <v>37</v>
      </c>
      <c r="B40" s="390" t="s">
        <v>261</v>
      </c>
      <c r="C40" s="396"/>
      <c r="D40" s="396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2"/>
      <c r="T40" s="512"/>
      <c r="U40" s="512"/>
      <c r="V40" s="512"/>
      <c r="W40" s="512"/>
      <c r="X40" s="512"/>
      <c r="Y40" s="512"/>
      <c r="Z40" s="512"/>
      <c r="AA40" s="513"/>
      <c r="AB40" s="513">
        <v>2784</v>
      </c>
      <c r="AC40" s="513"/>
      <c r="AD40" s="513"/>
      <c r="AE40" s="513"/>
      <c r="AF40" s="513"/>
      <c r="AG40" s="550">
        <f t="shared" si="1"/>
        <v>2784</v>
      </c>
      <c r="AH40" s="102"/>
      <c r="AI40" s="102"/>
      <c r="AJ40" s="397"/>
      <c r="AK40" s="397"/>
      <c r="AL40" s="397"/>
      <c r="AM40" s="178"/>
      <c r="AN40" s="178"/>
      <c r="AO40" s="178"/>
    </row>
    <row r="41" spans="1:41" s="211" customFormat="1" x14ac:dyDescent="0.2">
      <c r="A41" s="392">
        <f t="shared" si="4"/>
        <v>38</v>
      </c>
      <c r="B41" s="390" t="s">
        <v>278</v>
      </c>
      <c r="C41" s="89"/>
      <c r="D41" s="89"/>
      <c r="E41" s="516"/>
      <c r="F41" s="516"/>
      <c r="G41" s="516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2">
        <v>7149</v>
      </c>
      <c r="U41" s="512">
        <v>4291</v>
      </c>
      <c r="V41" s="512"/>
      <c r="W41" s="512"/>
      <c r="X41" s="512"/>
      <c r="Y41" s="512"/>
      <c r="Z41" s="512"/>
      <c r="AA41" s="513"/>
      <c r="AB41" s="513">
        <v>5400</v>
      </c>
      <c r="AC41" s="513">
        <v>120</v>
      </c>
      <c r="AD41" s="513"/>
      <c r="AE41" s="513"/>
      <c r="AF41" s="513"/>
      <c r="AG41" s="550">
        <f t="shared" si="1"/>
        <v>16960</v>
      </c>
      <c r="AH41" s="102"/>
      <c r="AI41" s="102"/>
      <c r="AJ41" s="178"/>
      <c r="AK41" s="178"/>
      <c r="AL41" s="178"/>
      <c r="AM41" s="398"/>
      <c r="AN41" s="178"/>
      <c r="AO41" s="178"/>
    </row>
    <row r="42" spans="1:41" s="211" customFormat="1" x14ac:dyDescent="0.2">
      <c r="A42" s="392">
        <f t="shared" si="4"/>
        <v>39</v>
      </c>
      <c r="B42" s="390" t="s">
        <v>279</v>
      </c>
      <c r="C42" s="89"/>
      <c r="D42" s="89"/>
      <c r="E42" s="516"/>
      <c r="F42" s="516"/>
      <c r="G42" s="516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  <c r="V42" s="512"/>
      <c r="W42" s="512"/>
      <c r="X42" s="512"/>
      <c r="Y42" s="512">
        <v>472406</v>
      </c>
      <c r="Z42" s="512">
        <v>341172</v>
      </c>
      <c r="AA42" s="513">
        <v>317876.30182000017</v>
      </c>
      <c r="AB42" s="513">
        <v>168899.99999999997</v>
      </c>
      <c r="AC42" s="513">
        <v>44176.618466920103</v>
      </c>
      <c r="AD42" s="513">
        <v>579.79999999999995</v>
      </c>
      <c r="AE42" s="513"/>
      <c r="AF42" s="513"/>
      <c r="AG42" s="550">
        <f t="shared" si="1"/>
        <v>1345110.7202869204</v>
      </c>
      <c r="AH42" s="102"/>
      <c r="AI42" s="102"/>
      <c r="AJ42" s="397"/>
      <c r="AK42" s="397"/>
      <c r="AL42" s="178"/>
      <c r="AM42" s="398"/>
      <c r="AN42" s="178"/>
      <c r="AO42" s="178"/>
    </row>
    <row r="43" spans="1:41" s="211" customFormat="1" x14ac:dyDescent="0.2">
      <c r="A43" s="392">
        <f t="shared" si="4"/>
        <v>40</v>
      </c>
      <c r="B43" s="390" t="s">
        <v>300</v>
      </c>
      <c r="C43" s="89"/>
      <c r="D43" s="89"/>
      <c r="E43" s="516"/>
      <c r="F43" s="516"/>
      <c r="G43" s="516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>
        <v>1000</v>
      </c>
      <c r="U43" s="512">
        <v>400</v>
      </c>
      <c r="V43" s="512">
        <v>86</v>
      </c>
      <c r="W43" s="512"/>
      <c r="X43" s="512">
        <v>492.7</v>
      </c>
      <c r="Y43" s="512"/>
      <c r="Z43" s="512"/>
      <c r="AA43" s="513"/>
      <c r="AB43" s="513"/>
      <c r="AC43" s="513"/>
      <c r="AD43" s="513"/>
      <c r="AE43" s="513"/>
      <c r="AF43" s="513"/>
      <c r="AG43" s="550">
        <f t="shared" si="1"/>
        <v>1978.7</v>
      </c>
      <c r="AH43" s="102"/>
      <c r="AI43" s="102"/>
      <c r="AJ43" s="397"/>
      <c r="AK43" s="397"/>
      <c r="AL43" s="178"/>
      <c r="AM43" s="398"/>
      <c r="AN43" s="178"/>
      <c r="AO43" s="178"/>
    </row>
    <row r="44" spans="1:41" s="211" customFormat="1" x14ac:dyDescent="0.2">
      <c r="A44" s="392">
        <f t="shared" si="4"/>
        <v>41</v>
      </c>
      <c r="B44" s="390" t="s">
        <v>126</v>
      </c>
      <c r="C44" s="89"/>
      <c r="D44" s="89"/>
      <c r="E44" s="516"/>
      <c r="F44" s="516"/>
      <c r="G44" s="516"/>
      <c r="H44" s="512"/>
      <c r="I44" s="512">
        <v>38550</v>
      </c>
      <c r="J44" s="512">
        <v>47228</v>
      </c>
      <c r="K44" s="512">
        <v>34264</v>
      </c>
      <c r="L44" s="512">
        <v>6884</v>
      </c>
      <c r="M44" s="512">
        <v>150</v>
      </c>
      <c r="N44" s="512">
        <v>238</v>
      </c>
      <c r="O44" s="512">
        <v>184</v>
      </c>
      <c r="P44" s="512">
        <v>152</v>
      </c>
      <c r="Q44" s="512">
        <v>30775</v>
      </c>
      <c r="R44" s="512">
        <v>90228</v>
      </c>
      <c r="S44" s="512">
        <v>14062</v>
      </c>
      <c r="T44" s="512"/>
      <c r="U44" s="512"/>
      <c r="V44" s="512"/>
      <c r="W44" s="512"/>
      <c r="X44" s="512"/>
      <c r="Y44" s="512"/>
      <c r="Z44" s="512"/>
      <c r="AA44" s="513"/>
      <c r="AB44" s="513"/>
      <c r="AC44" s="513"/>
      <c r="AD44" s="513"/>
      <c r="AE44" s="513"/>
      <c r="AF44" s="513"/>
      <c r="AG44" s="550">
        <f t="shared" si="1"/>
        <v>262715</v>
      </c>
      <c r="AH44" s="102"/>
      <c r="AI44" s="102"/>
      <c r="AJ44" s="397"/>
      <c r="AK44" s="397"/>
      <c r="AL44" s="397"/>
      <c r="AM44" s="178"/>
      <c r="AN44" s="178"/>
      <c r="AO44" s="178"/>
    </row>
    <row r="45" spans="1:41" s="211" customFormat="1" x14ac:dyDescent="0.2">
      <c r="A45" s="392">
        <f t="shared" si="4"/>
        <v>42</v>
      </c>
      <c r="B45" s="390" t="s">
        <v>280</v>
      </c>
      <c r="C45" s="396"/>
      <c r="D45" s="396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3"/>
      <c r="AB45" s="513"/>
      <c r="AC45" s="513">
        <v>26022.578557277899</v>
      </c>
      <c r="AD45" s="513">
        <v>2559.9999999999986</v>
      </c>
      <c r="AE45" s="513"/>
      <c r="AF45" s="513"/>
      <c r="AG45" s="550">
        <f t="shared" si="1"/>
        <v>28582.578557277899</v>
      </c>
      <c r="AH45" s="102"/>
      <c r="AI45" s="102"/>
      <c r="AJ45" s="178"/>
      <c r="AK45" s="397"/>
      <c r="AL45" s="397"/>
      <c r="AM45" s="398"/>
      <c r="AN45" s="178"/>
      <c r="AO45" s="178"/>
    </row>
    <row r="46" spans="1:41" s="211" customFormat="1" x14ac:dyDescent="0.2">
      <c r="A46" s="392">
        <f t="shared" si="4"/>
        <v>43</v>
      </c>
      <c r="B46" s="390" t="s">
        <v>301</v>
      </c>
      <c r="C46" s="89"/>
      <c r="D46" s="89"/>
      <c r="E46" s="516"/>
      <c r="F46" s="516"/>
      <c r="G46" s="516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3"/>
      <c r="AB46" s="513">
        <v>960</v>
      </c>
      <c r="AC46" s="513">
        <v>26022.578557277899</v>
      </c>
      <c r="AD46" s="513"/>
      <c r="AE46" s="513"/>
      <c r="AF46" s="513"/>
      <c r="AG46" s="550">
        <f t="shared" si="1"/>
        <v>26982.578557277899</v>
      </c>
      <c r="AH46" s="102"/>
      <c r="AI46" s="102"/>
      <c r="AJ46" s="178"/>
      <c r="AK46" s="397"/>
      <c r="AL46" s="397"/>
      <c r="AM46" s="398"/>
      <c r="AN46" s="178"/>
      <c r="AO46" s="178"/>
    </row>
    <row r="47" spans="1:41" s="211" customFormat="1" x14ac:dyDescent="0.2">
      <c r="A47" s="392">
        <f t="shared" si="4"/>
        <v>44</v>
      </c>
      <c r="B47" s="390" t="s">
        <v>289</v>
      </c>
      <c r="C47" s="89"/>
      <c r="D47" s="89"/>
      <c r="E47" s="516"/>
      <c r="F47" s="516"/>
      <c r="G47" s="516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>
        <v>5929</v>
      </c>
      <c r="W47" s="512">
        <v>37867</v>
      </c>
      <c r="X47" s="512">
        <v>2616</v>
      </c>
      <c r="Y47" s="512">
        <v>992</v>
      </c>
      <c r="Z47" s="512">
        <v>1286</v>
      </c>
      <c r="AA47" s="513">
        <v>604.94100000000003</v>
      </c>
      <c r="AB47" s="513">
        <v>19991.959999999995</v>
      </c>
      <c r="AC47" s="513"/>
      <c r="AD47" s="513"/>
      <c r="AE47" s="513"/>
      <c r="AF47" s="513"/>
      <c r="AG47" s="550">
        <f t="shared" si="1"/>
        <v>69286.900999999998</v>
      </c>
      <c r="AH47" s="102"/>
      <c r="AI47" s="102"/>
      <c r="AJ47" s="178"/>
      <c r="AK47" s="397"/>
      <c r="AL47" s="397"/>
      <c r="AM47" s="398"/>
      <c r="AN47" s="178"/>
      <c r="AO47" s="178"/>
    </row>
    <row r="48" spans="1:41" s="211" customFormat="1" x14ac:dyDescent="0.2">
      <c r="A48" s="392">
        <f t="shared" si="4"/>
        <v>45</v>
      </c>
      <c r="B48" s="390" t="s">
        <v>309</v>
      </c>
      <c r="C48" s="396"/>
      <c r="D48" s="396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512"/>
      <c r="Z48" s="512"/>
      <c r="AA48" s="513"/>
      <c r="AB48" s="513"/>
      <c r="AC48" s="513">
        <v>4669</v>
      </c>
      <c r="AD48" s="513">
        <v>9009.3656599999995</v>
      </c>
      <c r="AE48" s="513">
        <v>2693.6283400000002</v>
      </c>
      <c r="AF48" s="513"/>
      <c r="AG48" s="550">
        <f t="shared" si="1"/>
        <v>16371.993999999999</v>
      </c>
      <c r="AH48" s="102"/>
      <c r="AI48" s="102"/>
      <c r="AJ48" s="178"/>
      <c r="AK48" s="397"/>
      <c r="AL48" s="397"/>
      <c r="AM48" s="398"/>
      <c r="AN48" s="178"/>
      <c r="AO48" s="178"/>
    </row>
    <row r="49" spans="1:68" s="211" customFormat="1" x14ac:dyDescent="0.2">
      <c r="A49" s="392">
        <f t="shared" si="4"/>
        <v>46</v>
      </c>
      <c r="B49" s="404" t="s">
        <v>127</v>
      </c>
      <c r="C49" s="89"/>
      <c r="D49" s="89"/>
      <c r="E49" s="516"/>
      <c r="F49" s="516"/>
      <c r="G49" s="516"/>
      <c r="H49" s="512"/>
      <c r="I49" s="512"/>
      <c r="J49" s="512"/>
      <c r="K49" s="512">
        <v>792</v>
      </c>
      <c r="L49" s="512">
        <v>25.5</v>
      </c>
      <c r="M49" s="512">
        <v>23</v>
      </c>
      <c r="N49" s="512"/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12"/>
      <c r="Z49" s="512"/>
      <c r="AA49" s="513"/>
      <c r="AB49" s="513"/>
      <c r="AC49" s="513"/>
      <c r="AD49" s="513"/>
      <c r="AE49" s="513"/>
      <c r="AF49" s="513"/>
      <c r="AG49" s="550">
        <f t="shared" si="1"/>
        <v>840.5</v>
      </c>
      <c r="AH49" s="102"/>
      <c r="AI49" s="102"/>
      <c r="AJ49" s="178"/>
      <c r="AK49" s="397"/>
      <c r="AL49" s="397"/>
      <c r="AM49" s="178"/>
      <c r="AN49" s="178"/>
      <c r="AO49" s="178"/>
    </row>
    <row r="50" spans="1:68" s="211" customFormat="1" x14ac:dyDescent="0.2">
      <c r="A50" s="392">
        <f t="shared" si="4"/>
        <v>47</v>
      </c>
      <c r="B50" s="390" t="s">
        <v>310</v>
      </c>
      <c r="C50" s="396"/>
      <c r="D50" s="396"/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3"/>
      <c r="AB50" s="513"/>
      <c r="AC50" s="513">
        <v>2777.6</v>
      </c>
      <c r="AD50" s="513"/>
      <c r="AE50" s="513"/>
      <c r="AF50" s="513"/>
      <c r="AG50" s="550">
        <f t="shared" si="1"/>
        <v>2777.6</v>
      </c>
      <c r="AH50" s="102"/>
      <c r="AI50" s="102"/>
      <c r="AJ50" s="397"/>
      <c r="AK50" s="178"/>
      <c r="AL50" s="178"/>
      <c r="AM50" s="398"/>
      <c r="AN50" s="178"/>
      <c r="AO50" s="178"/>
    </row>
    <row r="51" spans="1:68" s="211" customFormat="1" x14ac:dyDescent="0.2">
      <c r="A51" s="392">
        <f t="shared" si="4"/>
        <v>48</v>
      </c>
      <c r="B51" s="390" t="s">
        <v>311</v>
      </c>
      <c r="C51" s="396"/>
      <c r="D51" s="396"/>
      <c r="E51" s="512"/>
      <c r="F51" s="512"/>
      <c r="G51" s="512"/>
      <c r="H51" s="512"/>
      <c r="I51" s="512"/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  <c r="U51" s="512"/>
      <c r="V51" s="512"/>
      <c r="W51" s="512"/>
      <c r="X51" s="512"/>
      <c r="Y51" s="512"/>
      <c r="Z51" s="512"/>
      <c r="AA51" s="513"/>
      <c r="AB51" s="513"/>
      <c r="AC51" s="513">
        <v>918</v>
      </c>
      <c r="AD51" s="513"/>
      <c r="AE51" s="513"/>
      <c r="AF51" s="513"/>
      <c r="AG51" s="550">
        <f t="shared" si="1"/>
        <v>918</v>
      </c>
      <c r="AH51" s="102"/>
      <c r="AI51" s="102"/>
      <c r="AJ51" s="397"/>
      <c r="AK51" s="178"/>
      <c r="AL51" s="178"/>
      <c r="AM51" s="398"/>
      <c r="AN51" s="178"/>
      <c r="AO51" s="178"/>
    </row>
    <row r="52" spans="1:68" s="211" customFormat="1" x14ac:dyDescent="0.2">
      <c r="A52" s="392">
        <f t="shared" si="4"/>
        <v>49</v>
      </c>
      <c r="B52" s="390" t="s">
        <v>128</v>
      </c>
      <c r="C52" s="396"/>
      <c r="D52" s="396"/>
      <c r="E52" s="512"/>
      <c r="F52" s="512"/>
      <c r="G52" s="512"/>
      <c r="H52" s="512"/>
      <c r="I52" s="512"/>
      <c r="J52" s="512"/>
      <c r="K52" s="512"/>
      <c r="L52" s="512"/>
      <c r="M52" s="512"/>
      <c r="N52" s="512"/>
      <c r="O52" s="512"/>
      <c r="P52" s="512"/>
      <c r="Q52" s="512"/>
      <c r="R52" s="512"/>
      <c r="S52" s="512"/>
      <c r="T52" s="512"/>
      <c r="U52" s="512"/>
      <c r="V52" s="512"/>
      <c r="W52" s="512"/>
      <c r="X52" s="512">
        <v>718</v>
      </c>
      <c r="Y52" s="512">
        <v>776</v>
      </c>
      <c r="Z52" s="512">
        <v>1152</v>
      </c>
      <c r="AA52" s="513">
        <v>237.93</v>
      </c>
      <c r="AB52" s="513"/>
      <c r="AC52" s="513"/>
      <c r="AD52" s="513"/>
      <c r="AE52" s="513"/>
      <c r="AF52" s="513">
        <v>7240.7999999999993</v>
      </c>
      <c r="AG52" s="550">
        <f t="shared" si="1"/>
        <v>10124.73</v>
      </c>
      <c r="AH52" s="102"/>
      <c r="AI52" s="102"/>
      <c r="AJ52" s="397"/>
      <c r="AK52" s="178"/>
      <c r="AL52" s="178"/>
      <c r="AM52" s="398"/>
      <c r="AN52" s="178"/>
      <c r="AO52" s="178"/>
    </row>
    <row r="53" spans="1:68" s="211" customFormat="1" x14ac:dyDescent="0.2">
      <c r="A53" s="392">
        <f t="shared" si="4"/>
        <v>50</v>
      </c>
      <c r="B53" s="390" t="s">
        <v>337</v>
      </c>
      <c r="C53" s="396"/>
      <c r="D53" s="396"/>
      <c r="E53" s="512"/>
      <c r="F53" s="512"/>
      <c r="G53" s="512">
        <v>31478.89</v>
      </c>
      <c r="H53" s="512">
        <v>7634.63</v>
      </c>
      <c r="I53" s="512">
        <v>58480.46</v>
      </c>
      <c r="J53" s="512">
        <v>113616.85</v>
      </c>
      <c r="K53" s="512">
        <v>96149.62</v>
      </c>
      <c r="L53" s="512">
        <v>119312.06</v>
      </c>
      <c r="M53" s="512">
        <v>48150</v>
      </c>
      <c r="N53" s="512">
        <v>111</v>
      </c>
      <c r="O53" s="512">
        <v>4915</v>
      </c>
      <c r="P53" s="512">
        <v>5278</v>
      </c>
      <c r="Q53" s="512">
        <v>11866</v>
      </c>
      <c r="R53" s="512">
        <v>24818</v>
      </c>
      <c r="S53" s="512">
        <v>94821</v>
      </c>
      <c r="T53" s="512">
        <v>23375</v>
      </c>
      <c r="U53" s="512">
        <v>79556</v>
      </c>
      <c r="V53" s="512">
        <v>60499</v>
      </c>
      <c r="W53" s="512">
        <v>29495</v>
      </c>
      <c r="X53" s="512">
        <v>30762</v>
      </c>
      <c r="Y53" s="512">
        <v>61938</v>
      </c>
      <c r="Z53" s="512">
        <v>71594</v>
      </c>
      <c r="AA53" s="513">
        <v>46101.700000000004</v>
      </c>
      <c r="AB53" s="513">
        <v>49031.362172351386</v>
      </c>
      <c r="AC53" s="513">
        <v>21507.899544492888</v>
      </c>
      <c r="AD53" s="513">
        <v>22334.801090162942</v>
      </c>
      <c r="AE53" s="513">
        <v>65217.343939616796</v>
      </c>
      <c r="AF53" s="513"/>
      <c r="AG53" s="550">
        <f t="shared" si="1"/>
        <v>1178043.616746624</v>
      </c>
      <c r="AH53" s="102"/>
      <c r="AI53" s="102"/>
      <c r="AJ53" s="397"/>
      <c r="AK53" s="178"/>
      <c r="AL53" s="178"/>
      <c r="AM53" s="178"/>
      <c r="AN53" s="178"/>
      <c r="AO53" s="178"/>
    </row>
    <row r="54" spans="1:68" s="211" customFormat="1" x14ac:dyDescent="0.2">
      <c r="A54" s="392">
        <f t="shared" si="4"/>
        <v>51</v>
      </c>
      <c r="B54" s="390" t="s">
        <v>338</v>
      </c>
      <c r="C54" s="89"/>
      <c r="D54" s="89"/>
      <c r="E54" s="516"/>
      <c r="F54" s="516"/>
      <c r="G54" s="516"/>
      <c r="H54" s="512"/>
      <c r="I54" s="512">
        <v>6</v>
      </c>
      <c r="J54" s="512">
        <v>469</v>
      </c>
      <c r="K54" s="512">
        <v>34617</v>
      </c>
      <c r="L54" s="512">
        <v>2336</v>
      </c>
      <c r="M54" s="512">
        <v>7763</v>
      </c>
      <c r="N54" s="512">
        <v>1342</v>
      </c>
      <c r="O54" s="512">
        <v>916</v>
      </c>
      <c r="P54" s="512">
        <v>640</v>
      </c>
      <c r="Q54" s="512">
        <v>4602</v>
      </c>
      <c r="R54" s="512">
        <v>6105</v>
      </c>
      <c r="S54" s="512">
        <v>8225</v>
      </c>
      <c r="T54" s="512">
        <v>6774</v>
      </c>
      <c r="U54" s="512">
        <v>1474</v>
      </c>
      <c r="V54" s="512">
        <v>5769</v>
      </c>
      <c r="W54" s="512">
        <v>1141</v>
      </c>
      <c r="X54" s="512">
        <v>56940.7</v>
      </c>
      <c r="Y54" s="512">
        <v>48533</v>
      </c>
      <c r="Z54" s="512">
        <v>16923</v>
      </c>
      <c r="AA54" s="513">
        <v>5999.9885162753981</v>
      </c>
      <c r="AB54" s="513">
        <v>31543.227064137802</v>
      </c>
      <c r="AC54" s="513">
        <v>25417.126457183593</v>
      </c>
      <c r="AD54" s="513">
        <v>17269.532462643569</v>
      </c>
      <c r="AE54" s="513">
        <v>6862.3228772728189</v>
      </c>
      <c r="AF54" s="513"/>
      <c r="AG54" s="550">
        <f t="shared" si="1"/>
        <v>291667.89737751323</v>
      </c>
      <c r="AH54" s="102"/>
      <c r="AI54" s="102"/>
      <c r="AJ54" s="397"/>
      <c r="AK54" s="397"/>
      <c r="AL54" s="178"/>
      <c r="AM54" s="397"/>
      <c r="AN54" s="397"/>
      <c r="AO54" s="397"/>
      <c r="AQ54" s="405"/>
      <c r="AR54" s="406"/>
      <c r="AS54" s="406"/>
      <c r="AT54" s="406"/>
      <c r="AU54" s="406"/>
      <c r="AV54" s="406"/>
      <c r="AW54" s="406"/>
      <c r="AX54" s="406"/>
      <c r="AY54" s="406"/>
      <c r="AZ54" s="406"/>
      <c r="BA54" s="406"/>
      <c r="BB54" s="406"/>
      <c r="BC54" s="406"/>
      <c r="BD54" s="406"/>
      <c r="BE54" s="406"/>
      <c r="BF54" s="406"/>
      <c r="BG54" s="406"/>
      <c r="BH54" s="406"/>
      <c r="BI54" s="406"/>
      <c r="BJ54" s="406"/>
      <c r="BK54" s="406"/>
      <c r="BL54" s="406"/>
      <c r="BM54" s="406"/>
      <c r="BN54" s="406"/>
      <c r="BO54" s="406"/>
      <c r="BP54" s="406"/>
    </row>
    <row r="55" spans="1:68" s="211" customFormat="1" x14ac:dyDescent="0.2">
      <c r="A55" s="392">
        <f t="shared" si="4"/>
        <v>52</v>
      </c>
      <c r="B55" s="390" t="s">
        <v>312</v>
      </c>
      <c r="C55" s="396"/>
      <c r="D55" s="396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3"/>
      <c r="AB55" s="513"/>
      <c r="AC55" s="513">
        <v>61105.9</v>
      </c>
      <c r="AD55" s="513">
        <v>269050.25243999995</v>
      </c>
      <c r="AE55" s="513">
        <v>26696.486539999998</v>
      </c>
      <c r="AF55" s="513"/>
      <c r="AG55" s="550">
        <f t="shared" si="1"/>
        <v>356852.63897999999</v>
      </c>
      <c r="AH55" s="102"/>
      <c r="AI55" s="102"/>
      <c r="AJ55" s="397"/>
      <c r="AK55" s="397"/>
      <c r="AL55" s="178"/>
      <c r="AM55" s="397"/>
      <c r="AN55" s="397"/>
      <c r="AO55" s="397"/>
      <c r="AQ55" s="397"/>
      <c r="AR55" s="397"/>
      <c r="AS55" s="397"/>
      <c r="AT55" s="397"/>
      <c r="AU55" s="397"/>
      <c r="AV55" s="397"/>
      <c r="AW55" s="397"/>
      <c r="AX55" s="397"/>
      <c r="AY55" s="397"/>
      <c r="AZ55" s="397"/>
      <c r="BA55" s="397"/>
      <c r="BB55" s="397"/>
      <c r="BC55" s="397"/>
      <c r="BD55" s="397"/>
      <c r="BE55" s="397"/>
      <c r="BF55" s="397"/>
      <c r="BG55" s="397"/>
      <c r="BH55" s="397"/>
      <c r="BI55" s="397"/>
      <c r="BJ55" s="397"/>
      <c r="BK55" s="397"/>
      <c r="BL55" s="397"/>
      <c r="BM55" s="397"/>
      <c r="BN55" s="397"/>
      <c r="BO55" s="397"/>
      <c r="BP55" s="397"/>
    </row>
    <row r="56" spans="1:68" s="402" customFormat="1" x14ac:dyDescent="0.2">
      <c r="A56" s="392">
        <f t="shared" si="4"/>
        <v>53</v>
      </c>
      <c r="B56" s="390" t="s">
        <v>246</v>
      </c>
      <c r="C56" s="396"/>
      <c r="D56" s="396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512"/>
      <c r="R56" s="512"/>
      <c r="S56" s="512"/>
      <c r="T56" s="512"/>
      <c r="U56" s="512"/>
      <c r="V56" s="512"/>
      <c r="W56" s="512">
        <v>155000</v>
      </c>
      <c r="X56" s="512">
        <v>2532.6999999999998</v>
      </c>
      <c r="Y56" s="512">
        <v>941</v>
      </c>
      <c r="Z56" s="512"/>
      <c r="AA56" s="513">
        <v>55000</v>
      </c>
      <c r="AB56" s="513"/>
      <c r="AC56" s="513">
        <v>457</v>
      </c>
      <c r="AD56" s="513">
        <v>852</v>
      </c>
      <c r="AE56" s="513">
        <v>306</v>
      </c>
      <c r="AF56" s="513">
        <v>614.999999</v>
      </c>
      <c r="AG56" s="550">
        <f t="shared" si="1"/>
        <v>215703.699999</v>
      </c>
      <c r="AH56" s="102"/>
      <c r="AI56" s="102"/>
      <c r="AJ56" s="400"/>
      <c r="AK56" s="400"/>
      <c r="AL56" s="401"/>
      <c r="AM56" s="400"/>
      <c r="AN56" s="400"/>
      <c r="AO56" s="400"/>
      <c r="AQ56" s="400"/>
      <c r="AR56" s="400"/>
      <c r="AS56" s="400"/>
      <c r="AT56" s="400"/>
      <c r="AU56" s="400"/>
      <c r="AV56" s="400"/>
      <c r="AW56" s="400"/>
      <c r="AX56" s="400"/>
      <c r="AY56" s="400"/>
      <c r="AZ56" s="400"/>
      <c r="BA56" s="400"/>
      <c r="BB56" s="400"/>
      <c r="BC56" s="400"/>
      <c r="BD56" s="400"/>
      <c r="BE56" s="400"/>
      <c r="BF56" s="400"/>
      <c r="BG56" s="400"/>
      <c r="BH56" s="400"/>
      <c r="BI56" s="400"/>
      <c r="BJ56" s="400"/>
      <c r="BK56" s="400"/>
      <c r="BL56" s="400"/>
      <c r="BM56" s="400"/>
      <c r="BN56" s="400"/>
      <c r="BO56" s="400"/>
      <c r="BP56" s="400"/>
    </row>
    <row r="57" spans="1:68" s="402" customFormat="1" x14ac:dyDescent="0.2">
      <c r="A57" s="392">
        <f t="shared" si="4"/>
        <v>54</v>
      </c>
      <c r="B57" s="390" t="s">
        <v>339</v>
      </c>
      <c r="C57" s="89"/>
      <c r="D57" s="89"/>
      <c r="E57" s="516"/>
      <c r="F57" s="516"/>
      <c r="G57" s="516"/>
      <c r="H57" s="512"/>
      <c r="I57" s="512"/>
      <c r="J57" s="512">
        <v>32416.105</v>
      </c>
      <c r="K57" s="512">
        <v>37156.508000000002</v>
      </c>
      <c r="L57" s="512">
        <v>104710.859</v>
      </c>
      <c r="M57" s="512">
        <v>86324</v>
      </c>
      <c r="N57" s="512">
        <v>970</v>
      </c>
      <c r="O57" s="512">
        <v>5090</v>
      </c>
      <c r="P57" s="512">
        <v>2433</v>
      </c>
      <c r="Q57" s="512">
        <v>34608</v>
      </c>
      <c r="R57" s="512">
        <v>11653</v>
      </c>
      <c r="S57" s="512">
        <v>56770</v>
      </c>
      <c r="T57" s="512">
        <v>78712</v>
      </c>
      <c r="U57" s="512">
        <v>69851</v>
      </c>
      <c r="V57" s="512">
        <v>33109</v>
      </c>
      <c r="W57" s="512">
        <v>88781</v>
      </c>
      <c r="X57" s="512">
        <v>270138</v>
      </c>
      <c r="Y57" s="512">
        <v>490574</v>
      </c>
      <c r="Z57" s="512">
        <v>206693</v>
      </c>
      <c r="AA57" s="513">
        <v>281064.61238999997</v>
      </c>
      <c r="AB57" s="513">
        <v>339247.83916999999</v>
      </c>
      <c r="AC57" s="513">
        <v>181556.54718999992</v>
      </c>
      <c r="AD57" s="513">
        <v>72452.357835136892</v>
      </c>
      <c r="AE57" s="513">
        <v>4492.6942200000003</v>
      </c>
      <c r="AF57" s="513">
        <v>31305.253199999963</v>
      </c>
      <c r="AG57" s="550">
        <f t="shared" si="1"/>
        <v>2520108.7760051368</v>
      </c>
      <c r="AH57" s="102"/>
      <c r="AI57" s="102"/>
      <c r="AJ57" s="400"/>
      <c r="AK57" s="400"/>
      <c r="AL57" s="401"/>
      <c r="AM57" s="400"/>
      <c r="AN57" s="400"/>
      <c r="AO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400"/>
      <c r="BP57" s="400"/>
    </row>
    <row r="58" spans="1:68" s="402" customFormat="1" x14ac:dyDescent="0.2">
      <c r="A58" s="392">
        <f t="shared" si="4"/>
        <v>55</v>
      </c>
      <c r="B58" s="390" t="s">
        <v>290</v>
      </c>
      <c r="C58" s="89"/>
      <c r="D58" s="89"/>
      <c r="E58" s="516"/>
      <c r="F58" s="516"/>
      <c r="G58" s="516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S58" s="512"/>
      <c r="T58" s="512"/>
      <c r="U58" s="512"/>
      <c r="V58" s="512">
        <v>7483</v>
      </c>
      <c r="W58" s="512">
        <v>33759</v>
      </c>
      <c r="X58" s="512">
        <v>328925</v>
      </c>
      <c r="Y58" s="512">
        <v>195512</v>
      </c>
      <c r="Z58" s="512">
        <v>185271</v>
      </c>
      <c r="AA58" s="513">
        <v>7741</v>
      </c>
      <c r="AB58" s="513">
        <v>2415</v>
      </c>
      <c r="AC58" s="513">
        <v>5463</v>
      </c>
      <c r="AD58" s="513">
        <v>5800</v>
      </c>
      <c r="AE58" s="513"/>
      <c r="AF58" s="513">
        <v>31370</v>
      </c>
      <c r="AG58" s="550">
        <f t="shared" si="1"/>
        <v>803739</v>
      </c>
      <c r="AH58" s="102"/>
      <c r="AI58" s="102"/>
      <c r="AJ58" s="400"/>
      <c r="AK58" s="400"/>
      <c r="AL58" s="401"/>
      <c r="AM58" s="400"/>
      <c r="AN58" s="400"/>
      <c r="AO58" s="400"/>
      <c r="AQ58" s="400"/>
      <c r="AR58" s="400"/>
      <c r="AS58" s="400"/>
      <c r="AT58" s="400"/>
      <c r="AU58" s="400"/>
      <c r="AV58" s="400"/>
      <c r="AW58" s="400"/>
      <c r="AX58" s="400"/>
      <c r="AY58" s="400"/>
      <c r="AZ58" s="400"/>
      <c r="BA58" s="400"/>
      <c r="BB58" s="400"/>
      <c r="BC58" s="400"/>
      <c r="BD58" s="400"/>
      <c r="BE58" s="400"/>
      <c r="BF58" s="400"/>
      <c r="BG58" s="400"/>
      <c r="BH58" s="400"/>
      <c r="BI58" s="400"/>
      <c r="BJ58" s="400"/>
      <c r="BK58" s="400"/>
      <c r="BL58" s="400"/>
      <c r="BM58" s="400"/>
      <c r="BN58" s="400"/>
      <c r="BO58" s="400"/>
      <c r="BP58" s="400"/>
    </row>
    <row r="59" spans="1:68" s="211" customFormat="1" x14ac:dyDescent="0.2">
      <c r="A59" s="392">
        <f t="shared" si="4"/>
        <v>56</v>
      </c>
      <c r="B59" s="390" t="s">
        <v>291</v>
      </c>
      <c r="C59" s="89"/>
      <c r="D59" s="89"/>
      <c r="E59" s="516"/>
      <c r="F59" s="516"/>
      <c r="G59" s="516"/>
      <c r="H59" s="512"/>
      <c r="I59" s="512"/>
      <c r="J59" s="512"/>
      <c r="K59" s="512"/>
      <c r="L59" s="512"/>
      <c r="M59" s="512"/>
      <c r="N59" s="512"/>
      <c r="O59" s="512"/>
      <c r="P59" s="512"/>
      <c r="Q59" s="512"/>
      <c r="R59" s="512"/>
      <c r="S59" s="512"/>
      <c r="T59" s="512"/>
      <c r="U59" s="512"/>
      <c r="V59" s="512"/>
      <c r="W59" s="512"/>
      <c r="X59" s="512"/>
      <c r="Y59" s="512"/>
      <c r="Z59" s="512"/>
      <c r="AA59" s="513"/>
      <c r="AB59" s="513">
        <v>1719</v>
      </c>
      <c r="AC59" s="513">
        <v>2069.3806800000002</v>
      </c>
      <c r="AD59" s="513"/>
      <c r="AE59" s="513"/>
      <c r="AF59" s="513">
        <v>8571.6959999999999</v>
      </c>
      <c r="AG59" s="550">
        <f t="shared" si="1"/>
        <v>12360.07668</v>
      </c>
      <c r="AH59" s="102"/>
      <c r="AI59" s="102"/>
      <c r="AJ59" s="397"/>
      <c r="AK59" s="397"/>
      <c r="AL59" s="178"/>
      <c r="AM59" s="397"/>
      <c r="AN59" s="397"/>
      <c r="AO59" s="397"/>
      <c r="AQ59" s="397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  <c r="BC59" s="397"/>
      <c r="BD59" s="397"/>
      <c r="BE59" s="397"/>
      <c r="BF59" s="397"/>
      <c r="BG59" s="397"/>
      <c r="BH59" s="397"/>
      <c r="BI59" s="397"/>
      <c r="BJ59" s="397"/>
      <c r="BK59" s="397"/>
      <c r="BL59" s="397"/>
      <c r="BM59" s="397"/>
      <c r="BN59" s="397"/>
      <c r="BO59" s="397"/>
      <c r="BP59" s="397"/>
    </row>
    <row r="60" spans="1:68" s="211" customFormat="1" x14ac:dyDescent="0.2">
      <c r="A60" s="392">
        <f t="shared" si="4"/>
        <v>57</v>
      </c>
      <c r="B60" s="390" t="s">
        <v>292</v>
      </c>
      <c r="C60" s="89"/>
      <c r="D60" s="89"/>
      <c r="E60" s="516"/>
      <c r="F60" s="516"/>
      <c r="G60" s="516"/>
      <c r="H60" s="512"/>
      <c r="I60" s="512"/>
      <c r="J60" s="512"/>
      <c r="K60" s="512"/>
      <c r="L60" s="512">
        <v>0</v>
      </c>
      <c r="M60" s="512"/>
      <c r="N60" s="512"/>
      <c r="O60" s="512"/>
      <c r="P60" s="512"/>
      <c r="Q60" s="512"/>
      <c r="R60" s="512"/>
      <c r="S60" s="512"/>
      <c r="T60" s="512"/>
      <c r="U60" s="512"/>
      <c r="V60" s="512">
        <v>1246</v>
      </c>
      <c r="W60" s="512">
        <v>4106</v>
      </c>
      <c r="X60" s="512"/>
      <c r="Y60" s="512"/>
      <c r="Z60" s="512"/>
      <c r="AA60" s="513"/>
      <c r="AB60" s="513">
        <v>1545</v>
      </c>
      <c r="AC60" s="513">
        <v>7825.1</v>
      </c>
      <c r="AD60" s="513"/>
      <c r="AE60" s="513"/>
      <c r="AF60" s="513"/>
      <c r="AG60" s="550">
        <f t="shared" si="1"/>
        <v>14722.1</v>
      </c>
      <c r="AH60" s="102"/>
      <c r="AI60" s="102"/>
      <c r="AJ60" s="397"/>
      <c r="AK60" s="397"/>
      <c r="AL60" s="178"/>
      <c r="AM60" s="397"/>
      <c r="AN60" s="397"/>
      <c r="AO60" s="397"/>
      <c r="AQ60" s="397"/>
      <c r="AR60" s="397"/>
      <c r="AS60" s="397"/>
      <c r="AT60" s="397"/>
      <c r="AU60" s="397"/>
      <c r="AV60" s="397"/>
      <c r="AW60" s="397"/>
      <c r="AX60" s="397"/>
      <c r="AY60" s="397"/>
      <c r="AZ60" s="397"/>
      <c r="BA60" s="397"/>
      <c r="BB60" s="397"/>
      <c r="BC60" s="397"/>
      <c r="BD60" s="397"/>
      <c r="BE60" s="397"/>
      <c r="BF60" s="397"/>
      <c r="BG60" s="397"/>
      <c r="BH60" s="397"/>
      <c r="BI60" s="397"/>
      <c r="BJ60" s="397"/>
      <c r="BK60" s="397"/>
      <c r="BL60" s="397"/>
      <c r="BM60" s="397"/>
      <c r="BN60" s="397"/>
      <c r="BO60" s="397"/>
      <c r="BP60" s="397"/>
    </row>
    <row r="61" spans="1:68" s="211" customFormat="1" x14ac:dyDescent="0.2">
      <c r="A61" s="392">
        <f t="shared" si="4"/>
        <v>58</v>
      </c>
      <c r="B61" s="390" t="s">
        <v>293</v>
      </c>
      <c r="C61" s="89"/>
      <c r="D61" s="89"/>
      <c r="E61" s="516"/>
      <c r="F61" s="516"/>
      <c r="G61" s="516"/>
      <c r="H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S61" s="512"/>
      <c r="T61" s="512"/>
      <c r="U61" s="512"/>
      <c r="V61" s="512"/>
      <c r="W61" s="512">
        <v>9650</v>
      </c>
      <c r="X61" s="512">
        <v>6479.3</v>
      </c>
      <c r="Y61" s="512">
        <v>4542</v>
      </c>
      <c r="Z61" s="512"/>
      <c r="AA61" s="513"/>
      <c r="AB61" s="513">
        <v>9025</v>
      </c>
      <c r="AC61" s="513">
        <v>22758.138469000001</v>
      </c>
      <c r="AD61" s="513">
        <v>23606.024999999998</v>
      </c>
      <c r="AE61" s="513">
        <v>7588.1874999999982</v>
      </c>
      <c r="AF61" s="513"/>
      <c r="AG61" s="550">
        <f t="shared" si="1"/>
        <v>83648.650968999995</v>
      </c>
      <c r="AH61" s="102"/>
      <c r="AI61" s="102"/>
      <c r="AJ61" s="397"/>
      <c r="AK61" s="397"/>
      <c r="AL61" s="178"/>
      <c r="AM61" s="397"/>
      <c r="AN61" s="397"/>
      <c r="AO61" s="397"/>
      <c r="AQ61" s="397"/>
      <c r="AR61" s="397"/>
      <c r="AS61" s="397"/>
      <c r="AT61" s="397"/>
      <c r="AU61" s="397"/>
      <c r="AV61" s="397"/>
      <c r="AW61" s="397"/>
      <c r="AX61" s="397"/>
      <c r="AY61" s="397"/>
      <c r="AZ61" s="397"/>
      <c r="BA61" s="397"/>
      <c r="BB61" s="397"/>
      <c r="BC61" s="397"/>
      <c r="BD61" s="397"/>
      <c r="BE61" s="397"/>
      <c r="BF61" s="397"/>
      <c r="BG61" s="397"/>
      <c r="BH61" s="397"/>
      <c r="BI61" s="397"/>
      <c r="BJ61" s="397"/>
      <c r="BK61" s="397"/>
      <c r="BL61" s="397"/>
      <c r="BM61" s="397"/>
      <c r="BN61" s="397"/>
      <c r="BO61" s="397"/>
      <c r="BP61" s="397"/>
    </row>
    <row r="62" spans="1:68" s="211" customFormat="1" x14ac:dyDescent="0.2">
      <c r="A62" s="392">
        <f t="shared" si="4"/>
        <v>59</v>
      </c>
      <c r="B62" s="390" t="s">
        <v>262</v>
      </c>
      <c r="C62" s="396"/>
      <c r="D62" s="396"/>
      <c r="E62" s="512"/>
      <c r="F62" s="512"/>
      <c r="G62" s="512"/>
      <c r="H62" s="512"/>
      <c r="I62" s="512"/>
      <c r="J62" s="512"/>
      <c r="K62" s="512"/>
      <c r="L62" s="512"/>
      <c r="M62" s="512"/>
      <c r="N62" s="512"/>
      <c r="O62" s="512"/>
      <c r="P62" s="512"/>
      <c r="Q62" s="512"/>
      <c r="R62" s="512"/>
      <c r="S62" s="512"/>
      <c r="T62" s="512"/>
      <c r="U62" s="512"/>
      <c r="V62" s="512"/>
      <c r="W62" s="512"/>
      <c r="X62" s="512"/>
      <c r="Y62" s="512"/>
      <c r="Z62" s="512"/>
      <c r="AA62" s="513"/>
      <c r="AB62" s="513">
        <v>4255</v>
      </c>
      <c r="AC62" s="513">
        <v>33228</v>
      </c>
      <c r="AD62" s="513">
        <v>46020.000000000015</v>
      </c>
      <c r="AE62" s="513"/>
      <c r="AF62" s="513"/>
      <c r="AG62" s="550">
        <f t="shared" si="1"/>
        <v>83503.000000000015</v>
      </c>
      <c r="AH62" s="102"/>
      <c r="AI62" s="102"/>
      <c r="AJ62" s="397"/>
      <c r="AK62" s="397"/>
      <c r="AL62" s="178"/>
      <c r="AM62" s="403"/>
      <c r="AN62" s="397"/>
      <c r="AO62" s="397"/>
      <c r="AQ62" s="397"/>
      <c r="AR62" s="397"/>
      <c r="AS62" s="397"/>
      <c r="AT62" s="397"/>
      <c r="AU62" s="397"/>
      <c r="AV62" s="397"/>
      <c r="AW62" s="397"/>
      <c r="AX62" s="397"/>
      <c r="AY62" s="397"/>
      <c r="AZ62" s="397"/>
      <c r="BA62" s="397"/>
      <c r="BB62" s="397"/>
      <c r="BC62" s="397"/>
      <c r="BD62" s="397"/>
      <c r="BE62" s="397"/>
      <c r="BF62" s="397"/>
      <c r="BG62" s="397"/>
      <c r="BH62" s="397"/>
      <c r="BI62" s="397"/>
      <c r="BJ62" s="397"/>
      <c r="BK62" s="397"/>
      <c r="BL62" s="397"/>
      <c r="BM62" s="397"/>
      <c r="BN62" s="397"/>
      <c r="BO62" s="397"/>
      <c r="BP62" s="397"/>
    </row>
    <row r="63" spans="1:68" s="211" customFormat="1" x14ac:dyDescent="0.2">
      <c r="A63" s="392">
        <f t="shared" si="4"/>
        <v>60</v>
      </c>
      <c r="B63" s="390" t="s">
        <v>317</v>
      </c>
      <c r="C63" s="89"/>
      <c r="D63" s="89"/>
      <c r="E63" s="516"/>
      <c r="F63" s="516"/>
      <c r="G63" s="516"/>
      <c r="H63" s="512"/>
      <c r="I63" s="512"/>
      <c r="J63" s="512"/>
      <c r="K63" s="512"/>
      <c r="L63" s="512"/>
      <c r="M63" s="512"/>
      <c r="N63" s="512"/>
      <c r="O63" s="512"/>
      <c r="P63" s="512"/>
      <c r="Q63" s="512"/>
      <c r="R63" s="512"/>
      <c r="S63" s="512">
        <v>48894</v>
      </c>
      <c r="T63" s="512">
        <v>16022</v>
      </c>
      <c r="U63" s="514" t="s">
        <v>75</v>
      </c>
      <c r="V63" s="514" t="s">
        <v>75</v>
      </c>
      <c r="W63" s="514" t="s">
        <v>75</v>
      </c>
      <c r="X63" s="514" t="s">
        <v>75</v>
      </c>
      <c r="Y63" s="514" t="s">
        <v>75</v>
      </c>
      <c r="Z63" s="514" t="s">
        <v>75</v>
      </c>
      <c r="AA63" s="515"/>
      <c r="AB63" s="515"/>
      <c r="AC63" s="515"/>
      <c r="AD63" s="515"/>
      <c r="AE63" s="515"/>
      <c r="AF63" s="515"/>
      <c r="AG63" s="550">
        <f t="shared" si="1"/>
        <v>64916</v>
      </c>
      <c r="AH63" s="102"/>
      <c r="AI63" s="102"/>
      <c r="AJ63" s="397"/>
      <c r="AK63" s="397"/>
      <c r="AL63" s="178"/>
      <c r="AM63" s="403"/>
      <c r="AN63" s="397"/>
      <c r="AO63" s="397"/>
      <c r="AQ63" s="397"/>
      <c r="AR63" s="397"/>
      <c r="AS63" s="397"/>
      <c r="AT63" s="397"/>
      <c r="AU63" s="397"/>
      <c r="AV63" s="397"/>
      <c r="AW63" s="397"/>
      <c r="AX63" s="397"/>
      <c r="AY63" s="397"/>
      <c r="AZ63" s="397"/>
      <c r="BA63" s="397"/>
      <c r="BB63" s="397"/>
      <c r="BC63" s="397"/>
      <c r="BD63" s="397"/>
      <c r="BE63" s="397"/>
      <c r="BF63" s="397"/>
      <c r="BG63" s="397"/>
      <c r="BH63" s="397"/>
      <c r="BI63" s="397"/>
      <c r="BJ63" s="397"/>
      <c r="BK63" s="397"/>
      <c r="BL63" s="397"/>
      <c r="BM63" s="397"/>
      <c r="BN63" s="397"/>
      <c r="BO63" s="397"/>
      <c r="BP63" s="397"/>
    </row>
    <row r="64" spans="1:68" s="211" customFormat="1" x14ac:dyDescent="0.2">
      <c r="A64" s="392">
        <f t="shared" si="4"/>
        <v>61</v>
      </c>
      <c r="B64" s="390" t="s">
        <v>313</v>
      </c>
      <c r="C64" s="396"/>
      <c r="D64" s="396"/>
      <c r="E64" s="512"/>
      <c r="F64" s="512"/>
      <c r="G64" s="512"/>
      <c r="H64" s="512"/>
      <c r="I64" s="512"/>
      <c r="J64" s="512"/>
      <c r="K64" s="512"/>
      <c r="L64" s="512"/>
      <c r="M64" s="512"/>
      <c r="N64" s="512"/>
      <c r="O64" s="512"/>
      <c r="P64" s="512"/>
      <c r="Q64" s="512"/>
      <c r="R64" s="512"/>
      <c r="S64" s="512"/>
      <c r="T64" s="512"/>
      <c r="U64" s="512"/>
      <c r="V64" s="512"/>
      <c r="W64" s="512"/>
      <c r="X64" s="512"/>
      <c r="Y64" s="512"/>
      <c r="Z64" s="512"/>
      <c r="AA64" s="513"/>
      <c r="AB64" s="513"/>
      <c r="AC64" s="513">
        <v>134.19999999999999</v>
      </c>
      <c r="AD64" s="513">
        <v>184.42000000000002</v>
      </c>
      <c r="AE64" s="513">
        <v>108.47999999999999</v>
      </c>
      <c r="AF64" s="513">
        <v>272.5</v>
      </c>
      <c r="AG64" s="550">
        <f t="shared" si="1"/>
        <v>699.6</v>
      </c>
      <c r="AH64" s="102"/>
      <c r="AI64" s="102"/>
      <c r="AJ64" s="397"/>
      <c r="AK64" s="397"/>
      <c r="AL64" s="178"/>
      <c r="AM64" s="403"/>
      <c r="AN64" s="397"/>
      <c r="AO64" s="397"/>
      <c r="AQ64" s="397"/>
      <c r="AR64" s="397"/>
      <c r="AS64" s="397"/>
      <c r="AT64" s="397"/>
      <c r="AU64" s="397"/>
      <c r="AV64" s="397"/>
      <c r="AW64" s="397"/>
      <c r="AX64" s="397"/>
      <c r="AY64" s="397"/>
      <c r="AZ64" s="397"/>
      <c r="BA64" s="397"/>
      <c r="BB64" s="397"/>
      <c r="BC64" s="397"/>
      <c r="BD64" s="397"/>
      <c r="BE64" s="397"/>
      <c r="BF64" s="397"/>
      <c r="BG64" s="397"/>
      <c r="BH64" s="397"/>
      <c r="BI64" s="397"/>
      <c r="BJ64" s="397"/>
      <c r="BK64" s="397"/>
      <c r="BL64" s="397"/>
      <c r="BM64" s="397"/>
      <c r="BN64" s="397"/>
      <c r="BO64" s="397"/>
      <c r="BP64" s="397"/>
    </row>
    <row r="65" spans="1:68" s="211" customFormat="1" x14ac:dyDescent="0.2">
      <c r="A65" s="392">
        <f t="shared" si="4"/>
        <v>62</v>
      </c>
      <c r="B65" s="390" t="s">
        <v>314</v>
      </c>
      <c r="C65" s="396"/>
      <c r="D65" s="396"/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512"/>
      <c r="R65" s="512"/>
      <c r="S65" s="512"/>
      <c r="T65" s="512"/>
      <c r="U65" s="512"/>
      <c r="V65" s="512"/>
      <c r="W65" s="512"/>
      <c r="X65" s="512"/>
      <c r="Y65" s="512"/>
      <c r="Z65" s="512"/>
      <c r="AA65" s="513"/>
      <c r="AB65" s="513"/>
      <c r="AC65" s="513">
        <v>133.80000000000001</v>
      </c>
      <c r="AD65" s="513">
        <v>184.42000000000002</v>
      </c>
      <c r="AE65" s="513">
        <v>108.46000000000001</v>
      </c>
      <c r="AF65" s="513">
        <v>305.89999999999998</v>
      </c>
      <c r="AG65" s="550">
        <f t="shared" si="1"/>
        <v>732.58</v>
      </c>
      <c r="AH65" s="102"/>
      <c r="AI65" s="102"/>
      <c r="AJ65" s="397"/>
      <c r="AK65" s="397"/>
      <c r="AL65" s="178"/>
      <c r="AM65" s="403"/>
      <c r="AN65" s="397"/>
      <c r="AO65" s="397"/>
      <c r="AQ65" s="397"/>
      <c r="AR65" s="397"/>
      <c r="AS65" s="397"/>
      <c r="AT65" s="397"/>
      <c r="AU65" s="397"/>
      <c r="AV65" s="397"/>
      <c r="AW65" s="397"/>
      <c r="AX65" s="397"/>
      <c r="AY65" s="397"/>
      <c r="AZ65" s="397"/>
      <c r="BA65" s="397"/>
      <c r="BB65" s="397"/>
      <c r="BC65" s="397"/>
      <c r="BD65" s="397"/>
      <c r="BE65" s="397"/>
      <c r="BF65" s="397"/>
      <c r="BG65" s="397"/>
      <c r="BH65" s="397"/>
      <c r="BI65" s="397"/>
      <c r="BJ65" s="397"/>
      <c r="BK65" s="397"/>
      <c r="BL65" s="397"/>
      <c r="BM65" s="397"/>
      <c r="BN65" s="397"/>
      <c r="BO65" s="397"/>
      <c r="BP65" s="397"/>
    </row>
    <row r="66" spans="1:68" s="211" customFormat="1" x14ac:dyDescent="0.2">
      <c r="A66" s="392">
        <f t="shared" si="4"/>
        <v>63</v>
      </c>
      <c r="B66" s="390" t="s">
        <v>294</v>
      </c>
      <c r="C66" s="89"/>
      <c r="D66" s="89"/>
      <c r="E66" s="516"/>
      <c r="F66" s="516"/>
      <c r="G66" s="516"/>
      <c r="H66" s="512"/>
      <c r="I66" s="512"/>
      <c r="J66" s="512"/>
      <c r="K66" s="512"/>
      <c r="L66" s="512"/>
      <c r="M66" s="512"/>
      <c r="N66" s="512"/>
      <c r="O66" s="512"/>
      <c r="P66" s="512"/>
      <c r="Q66" s="512"/>
      <c r="R66" s="512"/>
      <c r="S66" s="512"/>
      <c r="T66" s="512"/>
      <c r="U66" s="512"/>
      <c r="V66" s="512"/>
      <c r="W66" s="512"/>
      <c r="X66" s="512">
        <v>716</v>
      </c>
      <c r="Y66" s="512"/>
      <c r="Z66" s="512"/>
      <c r="AA66" s="513"/>
      <c r="AB66" s="513"/>
      <c r="AC66" s="513">
        <v>0</v>
      </c>
      <c r="AD66" s="513"/>
      <c r="AE66" s="513">
        <v>1741.549</v>
      </c>
      <c r="AF66" s="513"/>
      <c r="AG66" s="550">
        <f t="shared" si="1"/>
        <v>2457.549</v>
      </c>
      <c r="AH66" s="102"/>
      <c r="AI66" s="102"/>
      <c r="AJ66" s="397"/>
      <c r="AK66" s="397"/>
      <c r="AL66" s="178"/>
      <c r="AM66" s="403"/>
      <c r="AN66" s="397"/>
      <c r="AO66" s="397"/>
      <c r="AQ66" s="397"/>
      <c r="AR66" s="397"/>
      <c r="AS66" s="397"/>
      <c r="AT66" s="397"/>
      <c r="AU66" s="397"/>
      <c r="AV66" s="397"/>
      <c r="AW66" s="397"/>
      <c r="AX66" s="397"/>
      <c r="AY66" s="397"/>
      <c r="AZ66" s="397"/>
      <c r="BA66" s="397"/>
      <c r="BB66" s="397"/>
      <c r="BC66" s="397"/>
      <c r="BD66" s="397"/>
      <c r="BE66" s="397"/>
      <c r="BF66" s="397"/>
      <c r="BG66" s="397"/>
      <c r="BH66" s="397"/>
      <c r="BI66" s="397"/>
      <c r="BJ66" s="397"/>
      <c r="BK66" s="397"/>
      <c r="BL66" s="397"/>
      <c r="BM66" s="397"/>
      <c r="BN66" s="397"/>
      <c r="BO66" s="397"/>
      <c r="BP66" s="397"/>
    </row>
    <row r="67" spans="1:68" s="211" customFormat="1" x14ac:dyDescent="0.2">
      <c r="A67" s="392">
        <f t="shared" si="4"/>
        <v>64</v>
      </c>
      <c r="B67" s="390" t="s">
        <v>295</v>
      </c>
      <c r="C67" s="89"/>
      <c r="D67" s="89"/>
      <c r="E67" s="516"/>
      <c r="F67" s="516"/>
      <c r="G67" s="516"/>
      <c r="H67" s="512"/>
      <c r="I67" s="512"/>
      <c r="J67" s="512"/>
      <c r="K67" s="512"/>
      <c r="L67" s="512"/>
      <c r="M67" s="512"/>
      <c r="N67" s="512"/>
      <c r="O67" s="512"/>
      <c r="P67" s="512"/>
      <c r="Q67" s="512"/>
      <c r="R67" s="512"/>
      <c r="S67" s="512"/>
      <c r="T67" s="512"/>
      <c r="U67" s="512"/>
      <c r="V67" s="512"/>
      <c r="W67" s="512"/>
      <c r="X67" s="512">
        <v>739</v>
      </c>
      <c r="Y67" s="512"/>
      <c r="Z67" s="512"/>
      <c r="AA67" s="513"/>
      <c r="AB67" s="513"/>
      <c r="AC67" s="513">
        <v>0</v>
      </c>
      <c r="AD67" s="513"/>
      <c r="AE67" s="513">
        <v>3320.2550000000001</v>
      </c>
      <c r="AF67" s="513"/>
      <c r="AG67" s="550">
        <f t="shared" si="1"/>
        <v>4059.2550000000001</v>
      </c>
      <c r="AH67" s="102"/>
      <c r="AI67" s="102"/>
      <c r="AJ67" s="397"/>
      <c r="AK67" s="397"/>
      <c r="AL67" s="178"/>
      <c r="AM67" s="403"/>
      <c r="AN67" s="397"/>
      <c r="AO67" s="397"/>
      <c r="AQ67" s="397"/>
      <c r="AR67" s="397"/>
      <c r="AS67" s="397"/>
      <c r="AT67" s="397"/>
      <c r="AU67" s="397"/>
      <c r="AV67" s="397"/>
      <c r="AW67" s="397"/>
      <c r="AX67" s="397"/>
      <c r="AY67" s="397"/>
      <c r="AZ67" s="397"/>
      <c r="BA67" s="397"/>
      <c r="BB67" s="397"/>
      <c r="BC67" s="397"/>
      <c r="BD67" s="397"/>
      <c r="BE67" s="397"/>
      <c r="BF67" s="397"/>
      <c r="BG67" s="397"/>
      <c r="BH67" s="397"/>
      <c r="BI67" s="397"/>
      <c r="BJ67" s="397"/>
      <c r="BK67" s="397"/>
      <c r="BL67" s="397"/>
      <c r="BM67" s="397"/>
      <c r="BN67" s="397"/>
      <c r="BO67" s="397"/>
      <c r="BP67" s="397"/>
    </row>
    <row r="68" spans="1:68" s="211" customFormat="1" x14ac:dyDescent="0.2">
      <c r="A68" s="392">
        <f t="shared" si="4"/>
        <v>65</v>
      </c>
      <c r="B68" s="390" t="s">
        <v>185</v>
      </c>
      <c r="C68" s="89"/>
      <c r="D68" s="89"/>
      <c r="E68" s="516"/>
      <c r="F68" s="516"/>
      <c r="G68" s="516"/>
      <c r="H68" s="512"/>
      <c r="I68" s="512"/>
      <c r="J68" s="512"/>
      <c r="K68" s="512"/>
      <c r="L68" s="512"/>
      <c r="M68" s="512"/>
      <c r="N68" s="512"/>
      <c r="O68" s="512"/>
      <c r="P68" s="512"/>
      <c r="Q68" s="512"/>
      <c r="R68" s="512"/>
      <c r="S68" s="512"/>
      <c r="T68" s="512"/>
      <c r="U68" s="512"/>
      <c r="V68" s="512"/>
      <c r="W68" s="512">
        <v>708</v>
      </c>
      <c r="X68" s="512">
        <v>5490</v>
      </c>
      <c r="Y68" s="512"/>
      <c r="Z68" s="512"/>
      <c r="AA68" s="513"/>
      <c r="AB68" s="513"/>
      <c r="AC68" s="513">
        <v>0</v>
      </c>
      <c r="AD68" s="513"/>
      <c r="AE68" s="513"/>
      <c r="AF68" s="513"/>
      <c r="AG68" s="550">
        <f t="shared" si="1"/>
        <v>6198</v>
      </c>
      <c r="AH68" s="102"/>
      <c r="AI68" s="102"/>
      <c r="AJ68" s="397"/>
      <c r="AK68" s="397"/>
      <c r="AL68" s="178"/>
      <c r="AM68" s="403"/>
      <c r="AN68" s="397"/>
      <c r="AO68" s="397"/>
      <c r="AQ68" s="397"/>
      <c r="AR68" s="397"/>
      <c r="AS68" s="397"/>
      <c r="AT68" s="397"/>
      <c r="AU68" s="397"/>
      <c r="AV68" s="397"/>
      <c r="AW68" s="397"/>
      <c r="AX68" s="397"/>
      <c r="AY68" s="397"/>
      <c r="AZ68" s="397"/>
      <c r="BA68" s="397"/>
      <c r="BB68" s="397"/>
      <c r="BC68" s="397"/>
      <c r="BD68" s="397"/>
      <c r="BE68" s="397"/>
      <c r="BF68" s="397"/>
      <c r="BG68" s="397"/>
      <c r="BH68" s="397"/>
      <c r="BI68" s="397"/>
      <c r="BJ68" s="397"/>
      <c r="BK68" s="397"/>
      <c r="BL68" s="397"/>
      <c r="BM68" s="397"/>
      <c r="BN68" s="397"/>
      <c r="BO68" s="397"/>
      <c r="BP68" s="397"/>
    </row>
    <row r="69" spans="1:68" s="211" customFormat="1" x14ac:dyDescent="0.2">
      <c r="A69" s="399">
        <f t="shared" si="4"/>
        <v>66</v>
      </c>
      <c r="B69" s="390" t="s">
        <v>185</v>
      </c>
      <c r="C69" s="396"/>
      <c r="D69" s="396"/>
      <c r="E69" s="512"/>
      <c r="F69" s="512"/>
      <c r="G69" s="512"/>
      <c r="H69" s="512"/>
      <c r="I69" s="512"/>
      <c r="J69" s="512"/>
      <c r="K69" s="512"/>
      <c r="L69" s="512"/>
      <c r="M69" s="512"/>
      <c r="N69" s="512"/>
      <c r="O69" s="512"/>
      <c r="P69" s="512"/>
      <c r="Q69" s="512"/>
      <c r="R69" s="512"/>
      <c r="S69" s="512"/>
      <c r="T69" s="512"/>
      <c r="U69" s="512"/>
      <c r="V69" s="512"/>
      <c r="W69" s="512"/>
      <c r="X69" s="512"/>
      <c r="Y69" s="512">
        <v>844</v>
      </c>
      <c r="Z69" s="512"/>
      <c r="AA69" s="513"/>
      <c r="AB69" s="513"/>
      <c r="AC69" s="513"/>
      <c r="AD69" s="513"/>
      <c r="AE69" s="513"/>
      <c r="AF69" s="513"/>
      <c r="AG69" s="550">
        <f t="shared" si="1"/>
        <v>844</v>
      </c>
      <c r="AH69" s="102"/>
      <c r="AI69" s="102"/>
      <c r="AJ69" s="397"/>
      <c r="AK69" s="397"/>
      <c r="AL69" s="178"/>
      <c r="AM69" s="403"/>
      <c r="AN69" s="397"/>
      <c r="AO69" s="397"/>
      <c r="AQ69" s="397"/>
      <c r="AR69" s="397"/>
      <c r="AS69" s="397"/>
      <c r="AT69" s="397"/>
      <c r="AU69" s="397"/>
      <c r="AV69" s="397"/>
      <c r="AW69" s="397"/>
      <c r="AX69" s="397"/>
      <c r="AY69" s="397"/>
      <c r="AZ69" s="397"/>
      <c r="BA69" s="397"/>
      <c r="BB69" s="397"/>
      <c r="BC69" s="397"/>
      <c r="BD69" s="397"/>
      <c r="BE69" s="397"/>
      <c r="BF69" s="397"/>
      <c r="BG69" s="397"/>
      <c r="BH69" s="397"/>
      <c r="BI69" s="397"/>
      <c r="BJ69" s="397"/>
      <c r="BK69" s="397"/>
      <c r="BL69" s="397"/>
      <c r="BM69" s="397"/>
      <c r="BN69" s="397"/>
      <c r="BO69" s="397"/>
      <c r="BP69" s="397"/>
    </row>
    <row r="70" spans="1:68" s="211" customFormat="1" x14ac:dyDescent="0.2">
      <c r="A70" s="399">
        <f t="shared" si="4"/>
        <v>67</v>
      </c>
      <c r="B70" s="390" t="s">
        <v>302</v>
      </c>
      <c r="C70" s="396"/>
      <c r="D70" s="396"/>
      <c r="E70" s="512"/>
      <c r="F70" s="512"/>
      <c r="G70" s="512"/>
      <c r="H70" s="512"/>
      <c r="I70" s="512"/>
      <c r="J70" s="512"/>
      <c r="K70" s="512"/>
      <c r="L70" s="512"/>
      <c r="M70" s="512"/>
      <c r="N70" s="512"/>
      <c r="O70" s="512"/>
      <c r="P70" s="512"/>
      <c r="Q70" s="512"/>
      <c r="R70" s="512"/>
      <c r="S70" s="512"/>
      <c r="T70" s="512"/>
      <c r="U70" s="512"/>
      <c r="V70" s="512"/>
      <c r="W70" s="512"/>
      <c r="X70" s="512"/>
      <c r="Y70" s="512"/>
      <c r="Z70" s="512"/>
      <c r="AA70" s="512"/>
      <c r="AB70" s="513">
        <v>1020</v>
      </c>
      <c r="AC70" s="513">
        <v>602</v>
      </c>
      <c r="AD70" s="513"/>
      <c r="AE70" s="513"/>
      <c r="AF70" s="513"/>
      <c r="AG70" s="550">
        <f t="shared" ref="AG70:AG100" si="5">SUM(C70:AF70)</f>
        <v>1622</v>
      </c>
      <c r="AH70" s="102"/>
      <c r="AI70" s="102"/>
      <c r="AJ70" s="397"/>
      <c r="AK70" s="397"/>
      <c r="AL70" s="178"/>
      <c r="AM70" s="403"/>
      <c r="AN70" s="397"/>
      <c r="AO70" s="397"/>
      <c r="AQ70" s="397"/>
      <c r="AR70" s="397"/>
      <c r="AS70" s="397"/>
      <c r="AT70" s="397"/>
      <c r="AU70" s="397"/>
      <c r="AV70" s="397"/>
      <c r="AW70" s="397"/>
      <c r="AX70" s="397"/>
      <c r="AY70" s="397"/>
      <c r="AZ70" s="397"/>
      <c r="BA70" s="397"/>
      <c r="BB70" s="397"/>
      <c r="BC70" s="397"/>
      <c r="BD70" s="397"/>
      <c r="BE70" s="397"/>
      <c r="BF70" s="397"/>
      <c r="BG70" s="397"/>
      <c r="BH70" s="397"/>
      <c r="BI70" s="397"/>
      <c r="BJ70" s="397"/>
      <c r="BK70" s="397"/>
      <c r="BL70" s="397"/>
      <c r="BM70" s="397"/>
      <c r="BN70" s="397"/>
      <c r="BO70" s="397"/>
      <c r="BP70" s="397"/>
    </row>
    <row r="71" spans="1:68" s="211" customFormat="1" x14ac:dyDescent="0.2">
      <c r="A71" s="392">
        <f t="shared" si="4"/>
        <v>68</v>
      </c>
      <c r="B71" s="390" t="s">
        <v>315</v>
      </c>
      <c r="C71" s="396"/>
      <c r="D71" s="396"/>
      <c r="E71" s="512"/>
      <c r="F71" s="512"/>
      <c r="G71" s="512"/>
      <c r="H71" s="512"/>
      <c r="I71" s="512"/>
      <c r="J71" s="512"/>
      <c r="K71" s="512"/>
      <c r="L71" s="512"/>
      <c r="M71" s="512"/>
      <c r="N71" s="512"/>
      <c r="O71" s="512"/>
      <c r="P71" s="512"/>
      <c r="Q71" s="512"/>
      <c r="R71" s="512"/>
      <c r="S71" s="512"/>
      <c r="T71" s="512"/>
      <c r="U71" s="512"/>
      <c r="V71" s="512"/>
      <c r="W71" s="512"/>
      <c r="X71" s="512"/>
      <c r="Y71" s="512"/>
      <c r="Z71" s="512"/>
      <c r="AA71" s="513"/>
      <c r="AB71" s="513"/>
      <c r="AC71" s="513">
        <v>2007</v>
      </c>
      <c r="AD71" s="513">
        <v>508.97</v>
      </c>
      <c r="AE71" s="513"/>
      <c r="AF71" s="513"/>
      <c r="AG71" s="550">
        <f t="shared" si="5"/>
        <v>2515.9700000000003</v>
      </c>
      <c r="AH71" s="102"/>
      <c r="AI71" s="102"/>
      <c r="AJ71" s="397"/>
      <c r="AK71" s="397"/>
      <c r="AL71" s="178"/>
      <c r="AM71" s="397"/>
      <c r="AN71" s="397"/>
      <c r="AO71" s="397"/>
      <c r="AQ71" s="397"/>
      <c r="AR71" s="397"/>
      <c r="AS71" s="397"/>
      <c r="AT71" s="397"/>
      <c r="AU71" s="397"/>
      <c r="AV71" s="397"/>
      <c r="AW71" s="397"/>
      <c r="AX71" s="397"/>
      <c r="AY71" s="397"/>
      <c r="AZ71" s="397"/>
      <c r="BA71" s="397"/>
      <c r="BB71" s="397"/>
      <c r="BC71" s="397"/>
      <c r="BD71" s="397"/>
      <c r="BE71" s="397"/>
      <c r="BF71" s="397"/>
      <c r="BG71" s="397"/>
      <c r="BH71" s="397"/>
      <c r="BI71" s="397"/>
      <c r="BJ71" s="397"/>
      <c r="BK71" s="397"/>
      <c r="BL71" s="397"/>
      <c r="BM71" s="397"/>
      <c r="BN71" s="397"/>
      <c r="BO71" s="397"/>
      <c r="BP71" s="397"/>
    </row>
    <row r="72" spans="1:68" s="211" customFormat="1" x14ac:dyDescent="0.2">
      <c r="A72" s="399">
        <f t="shared" si="4"/>
        <v>69</v>
      </c>
      <c r="B72" s="390" t="s">
        <v>263</v>
      </c>
      <c r="C72" s="396"/>
      <c r="D72" s="396"/>
      <c r="E72" s="512"/>
      <c r="F72" s="512"/>
      <c r="G72" s="512"/>
      <c r="H72" s="512"/>
      <c r="I72" s="512"/>
      <c r="J72" s="512"/>
      <c r="K72" s="512"/>
      <c r="L72" s="512"/>
      <c r="M72" s="512"/>
      <c r="N72" s="512"/>
      <c r="O72" s="512"/>
      <c r="P72" s="512"/>
      <c r="Q72" s="512"/>
      <c r="R72" s="512"/>
      <c r="S72" s="512"/>
      <c r="T72" s="512"/>
      <c r="U72" s="512"/>
      <c r="V72" s="512"/>
      <c r="W72" s="512"/>
      <c r="X72" s="512"/>
      <c r="Y72" s="512"/>
      <c r="Z72" s="512"/>
      <c r="AA72" s="513"/>
      <c r="AB72" s="513">
        <v>50000</v>
      </c>
      <c r="AC72" s="513">
        <v>41944</v>
      </c>
      <c r="AD72" s="513">
        <v>4280.0000000000036</v>
      </c>
      <c r="AE72" s="513"/>
      <c r="AF72" s="513"/>
      <c r="AG72" s="550">
        <f t="shared" si="5"/>
        <v>96224</v>
      </c>
      <c r="AH72" s="102"/>
      <c r="AI72" s="102"/>
      <c r="AJ72" s="397"/>
      <c r="AK72" s="397"/>
      <c r="AL72" s="178"/>
      <c r="AM72" s="397"/>
      <c r="AN72" s="397"/>
      <c r="AO72" s="397"/>
      <c r="AQ72" s="397"/>
      <c r="AR72" s="397"/>
      <c r="AS72" s="397"/>
      <c r="AT72" s="397"/>
      <c r="AU72" s="397"/>
      <c r="AV72" s="397"/>
      <c r="AW72" s="397"/>
      <c r="AX72" s="397"/>
      <c r="AY72" s="397"/>
      <c r="AZ72" s="397"/>
      <c r="BA72" s="397"/>
      <c r="BB72" s="397"/>
      <c r="BC72" s="397"/>
      <c r="BD72" s="397"/>
      <c r="BE72" s="397"/>
      <c r="BF72" s="397"/>
      <c r="BG72" s="397"/>
      <c r="BH72" s="397"/>
      <c r="BI72" s="397"/>
      <c r="BJ72" s="397"/>
      <c r="BK72" s="397"/>
      <c r="BL72" s="397"/>
      <c r="BM72" s="397"/>
      <c r="BN72" s="397"/>
      <c r="BO72" s="397"/>
      <c r="BP72" s="397"/>
    </row>
    <row r="73" spans="1:68" s="211" customFormat="1" x14ac:dyDescent="0.2">
      <c r="A73" s="399">
        <f t="shared" si="4"/>
        <v>70</v>
      </c>
      <c r="B73" s="407" t="s">
        <v>296</v>
      </c>
      <c r="C73" s="331"/>
      <c r="D73" s="331"/>
      <c r="E73" s="517"/>
      <c r="F73" s="517"/>
      <c r="G73" s="517"/>
      <c r="H73" s="518"/>
      <c r="I73" s="518"/>
      <c r="J73" s="518"/>
      <c r="K73" s="518"/>
      <c r="L73" s="518"/>
      <c r="M73" s="518"/>
      <c r="N73" s="518"/>
      <c r="O73" s="518"/>
      <c r="P73" s="518"/>
      <c r="Q73" s="518"/>
      <c r="R73" s="518"/>
      <c r="S73" s="518"/>
      <c r="T73" s="518"/>
      <c r="U73" s="518"/>
      <c r="V73" s="518"/>
      <c r="W73" s="518">
        <v>20893</v>
      </c>
      <c r="X73" s="518">
        <v>19567</v>
      </c>
      <c r="Y73" s="518">
        <v>6547.3604500000001</v>
      </c>
      <c r="Z73" s="518"/>
      <c r="AA73" s="519"/>
      <c r="AB73" s="519"/>
      <c r="AC73" s="519"/>
      <c r="AD73" s="519"/>
      <c r="AE73" s="519"/>
      <c r="AF73" s="519"/>
      <c r="AG73" s="550">
        <f t="shared" si="5"/>
        <v>47007.36045</v>
      </c>
      <c r="AH73" s="102"/>
      <c r="AI73" s="102"/>
      <c r="AJ73" s="397"/>
      <c r="AK73" s="397"/>
      <c r="AL73" s="178"/>
      <c r="AM73" s="397"/>
      <c r="AN73" s="397"/>
      <c r="AO73" s="397"/>
      <c r="AQ73" s="397"/>
      <c r="AR73" s="397"/>
      <c r="AS73" s="397"/>
      <c r="AT73" s="397"/>
      <c r="AU73" s="397"/>
      <c r="AV73" s="397"/>
      <c r="AW73" s="397"/>
      <c r="AX73" s="397"/>
      <c r="AY73" s="397"/>
      <c r="AZ73" s="397"/>
      <c r="BA73" s="397"/>
      <c r="BB73" s="397"/>
      <c r="BC73" s="397"/>
      <c r="BD73" s="397"/>
      <c r="BE73" s="397"/>
      <c r="BF73" s="397"/>
      <c r="BG73" s="397"/>
      <c r="BH73" s="397"/>
      <c r="BI73" s="397"/>
      <c r="BJ73" s="397"/>
      <c r="BK73" s="397"/>
      <c r="BL73" s="397"/>
      <c r="BM73" s="397"/>
      <c r="BN73" s="397"/>
      <c r="BO73" s="397"/>
      <c r="BP73" s="397"/>
    </row>
    <row r="74" spans="1:68" s="211" customFormat="1" x14ac:dyDescent="0.2">
      <c r="A74" s="392">
        <f t="shared" si="4"/>
        <v>71</v>
      </c>
      <c r="B74" s="390" t="s">
        <v>186</v>
      </c>
      <c r="C74" s="396"/>
      <c r="D74" s="396"/>
      <c r="E74" s="512"/>
      <c r="F74" s="512"/>
      <c r="G74" s="512"/>
      <c r="H74" s="512"/>
      <c r="I74" s="512"/>
      <c r="J74" s="512"/>
      <c r="K74" s="512"/>
      <c r="L74" s="512"/>
      <c r="M74" s="512"/>
      <c r="N74" s="512"/>
      <c r="O74" s="512"/>
      <c r="P74" s="512"/>
      <c r="Q74" s="512"/>
      <c r="R74" s="512"/>
      <c r="S74" s="512"/>
      <c r="T74" s="512"/>
      <c r="U74" s="512"/>
      <c r="V74" s="512"/>
      <c r="W74" s="512"/>
      <c r="X74" s="512"/>
      <c r="Y74" s="512">
        <v>28</v>
      </c>
      <c r="Z74" s="512"/>
      <c r="AA74" s="513"/>
      <c r="AB74" s="513"/>
      <c r="AC74" s="513"/>
      <c r="AD74" s="513"/>
      <c r="AE74" s="513"/>
      <c r="AF74" s="513"/>
      <c r="AG74" s="550">
        <f t="shared" si="5"/>
        <v>28</v>
      </c>
      <c r="AH74" s="102"/>
      <c r="AI74" s="102"/>
      <c r="AJ74" s="397"/>
      <c r="AK74" s="397"/>
      <c r="AL74" s="178"/>
      <c r="AM74" s="397"/>
      <c r="AN74" s="397"/>
      <c r="AO74" s="397"/>
      <c r="AQ74" s="397"/>
      <c r="AR74" s="397"/>
      <c r="AS74" s="397"/>
      <c r="AT74" s="397"/>
      <c r="AU74" s="397"/>
      <c r="AV74" s="397"/>
      <c r="AW74" s="397"/>
      <c r="AX74" s="397"/>
      <c r="AY74" s="397"/>
      <c r="AZ74" s="397"/>
      <c r="BA74" s="397"/>
      <c r="BB74" s="397"/>
      <c r="BC74" s="397"/>
      <c r="BD74" s="397"/>
      <c r="BE74" s="397"/>
      <c r="BF74" s="397"/>
      <c r="BG74" s="397"/>
      <c r="BH74" s="397"/>
      <c r="BI74" s="397"/>
      <c r="BJ74" s="397"/>
      <c r="BK74" s="397"/>
      <c r="BL74" s="397"/>
      <c r="BM74" s="397"/>
      <c r="BN74" s="397"/>
      <c r="BO74" s="397"/>
      <c r="BP74" s="397"/>
    </row>
    <row r="75" spans="1:68" s="211" customFormat="1" ht="12" customHeight="1" x14ac:dyDescent="0.2">
      <c r="A75" s="392">
        <f t="shared" si="4"/>
        <v>72</v>
      </c>
      <c r="B75" s="390" t="s">
        <v>264</v>
      </c>
      <c r="C75" s="89"/>
      <c r="D75" s="89"/>
      <c r="E75" s="516"/>
      <c r="F75" s="516"/>
      <c r="G75" s="516"/>
      <c r="H75" s="512"/>
      <c r="I75" s="512"/>
      <c r="J75" s="512"/>
      <c r="K75" s="512"/>
      <c r="L75" s="512"/>
      <c r="M75" s="512"/>
      <c r="N75" s="512"/>
      <c r="O75" s="512"/>
      <c r="P75" s="512"/>
      <c r="Q75" s="512"/>
      <c r="R75" s="512"/>
      <c r="S75" s="512"/>
      <c r="T75" s="512"/>
      <c r="U75" s="512"/>
      <c r="V75" s="512"/>
      <c r="W75" s="512"/>
      <c r="X75" s="512"/>
      <c r="Y75" s="512"/>
      <c r="Z75" s="512"/>
      <c r="AA75" s="513"/>
      <c r="AB75" s="513">
        <v>2760</v>
      </c>
      <c r="AC75" s="513">
        <v>16284</v>
      </c>
      <c r="AD75" s="513">
        <v>275.10000000000025</v>
      </c>
      <c r="AE75" s="513">
        <v>5474.9999999999991</v>
      </c>
      <c r="AF75" s="513"/>
      <c r="AG75" s="550">
        <f t="shared" si="5"/>
        <v>24794.1</v>
      </c>
      <c r="AH75" s="102"/>
      <c r="AI75" s="102"/>
      <c r="AJ75" s="397"/>
      <c r="AK75" s="397"/>
      <c r="AL75" s="178"/>
      <c r="AM75" s="397"/>
      <c r="AN75" s="397"/>
      <c r="AO75" s="397"/>
      <c r="AQ75" s="397"/>
      <c r="AR75" s="397"/>
      <c r="AS75" s="397"/>
      <c r="AT75" s="397"/>
      <c r="AU75" s="397"/>
      <c r="AV75" s="397"/>
      <c r="AW75" s="397"/>
      <c r="AX75" s="397"/>
      <c r="AY75" s="397"/>
      <c r="AZ75" s="397"/>
      <c r="BA75" s="397"/>
      <c r="BB75" s="397"/>
      <c r="BC75" s="397"/>
      <c r="BD75" s="397"/>
      <c r="BE75" s="397"/>
      <c r="BF75" s="397"/>
      <c r="BG75" s="397"/>
      <c r="BH75" s="397"/>
      <c r="BI75" s="397"/>
      <c r="BJ75" s="397"/>
      <c r="BK75" s="397"/>
      <c r="BL75" s="397"/>
      <c r="BM75" s="397"/>
      <c r="BN75" s="397"/>
      <c r="BO75" s="397"/>
      <c r="BP75" s="397"/>
    </row>
    <row r="76" spans="1:68" s="211" customFormat="1" x14ac:dyDescent="0.2">
      <c r="A76" s="392">
        <f>A75+1</f>
        <v>73</v>
      </c>
      <c r="B76" s="390" t="s">
        <v>340</v>
      </c>
      <c r="C76" s="89"/>
      <c r="D76" s="89"/>
      <c r="E76" s="516"/>
      <c r="F76" s="516"/>
      <c r="G76" s="516"/>
      <c r="H76" s="512"/>
      <c r="I76" s="512"/>
      <c r="J76" s="512"/>
      <c r="K76" s="512"/>
      <c r="L76" s="512"/>
      <c r="M76" s="512"/>
      <c r="N76" s="512"/>
      <c r="O76" s="512"/>
      <c r="P76" s="512"/>
      <c r="Q76" s="512"/>
      <c r="R76" s="512"/>
      <c r="S76" s="512"/>
      <c r="T76" s="512"/>
      <c r="U76" s="512"/>
      <c r="V76" s="512"/>
      <c r="W76" s="512"/>
      <c r="X76" s="512"/>
      <c r="Y76" s="512"/>
      <c r="Z76" s="512"/>
      <c r="AA76" s="513"/>
      <c r="AB76" s="513"/>
      <c r="AC76" s="513"/>
      <c r="AD76" s="513">
        <v>19444.102207862143</v>
      </c>
      <c r="AE76" s="513">
        <v>29599.587249999997</v>
      </c>
      <c r="AF76" s="513">
        <v>82028.830159688179</v>
      </c>
      <c r="AG76" s="550">
        <f t="shared" si="5"/>
        <v>131072.51961755031</v>
      </c>
      <c r="AH76" s="102"/>
      <c r="AI76" s="102"/>
      <c r="AJ76" s="397"/>
      <c r="AK76" s="397"/>
      <c r="AL76" s="178"/>
      <c r="AM76" s="397"/>
      <c r="AN76" s="397"/>
      <c r="AO76" s="397"/>
      <c r="AQ76" s="397"/>
      <c r="AR76" s="397"/>
      <c r="AS76" s="397"/>
      <c r="AT76" s="397"/>
      <c r="AU76" s="397"/>
      <c r="AV76" s="397"/>
      <c r="AW76" s="397"/>
      <c r="AX76" s="397"/>
      <c r="AY76" s="397"/>
      <c r="AZ76" s="397"/>
      <c r="BA76" s="397"/>
      <c r="BB76" s="397"/>
      <c r="BC76" s="397"/>
      <c r="BD76" s="397"/>
      <c r="BE76" s="397"/>
      <c r="BF76" s="397"/>
      <c r="BG76" s="397"/>
      <c r="BH76" s="397"/>
      <c r="BI76" s="397"/>
      <c r="BJ76" s="397"/>
      <c r="BK76" s="397"/>
      <c r="BL76" s="397"/>
      <c r="BM76" s="397"/>
      <c r="BN76" s="397"/>
      <c r="BO76" s="397"/>
      <c r="BP76" s="397"/>
    </row>
    <row r="77" spans="1:68" s="211" customFormat="1" x14ac:dyDescent="0.2">
      <c r="A77" s="392">
        <f>+A76+1</f>
        <v>74</v>
      </c>
      <c r="B77" s="390" t="s">
        <v>129</v>
      </c>
      <c r="C77" s="89"/>
      <c r="D77" s="89"/>
      <c r="E77" s="516"/>
      <c r="F77" s="516"/>
      <c r="G77" s="516"/>
      <c r="H77" s="512"/>
      <c r="I77" s="512"/>
      <c r="J77" s="512"/>
      <c r="K77" s="512">
        <v>156</v>
      </c>
      <c r="L77" s="512">
        <v>244</v>
      </c>
      <c r="M77" s="512">
        <v>300</v>
      </c>
      <c r="N77" s="512"/>
      <c r="O77" s="512"/>
      <c r="P77" s="512"/>
      <c r="Q77" s="512"/>
      <c r="R77" s="512"/>
      <c r="S77" s="512"/>
      <c r="T77" s="512"/>
      <c r="U77" s="512"/>
      <c r="V77" s="512"/>
      <c r="W77" s="512"/>
      <c r="X77" s="512"/>
      <c r="Y77" s="512"/>
      <c r="Z77" s="512"/>
      <c r="AA77" s="513"/>
      <c r="AB77" s="513"/>
      <c r="AC77" s="513"/>
      <c r="AD77" s="513"/>
      <c r="AE77" s="513"/>
      <c r="AF77" s="513"/>
      <c r="AG77" s="550">
        <f t="shared" si="5"/>
        <v>700</v>
      </c>
      <c r="AH77" s="102"/>
      <c r="AI77" s="102"/>
      <c r="AJ77" s="397"/>
      <c r="AK77" s="397"/>
      <c r="AL77" s="178"/>
      <c r="AM77" s="397"/>
      <c r="AN77" s="397"/>
      <c r="AO77" s="397"/>
      <c r="AQ77" s="397"/>
      <c r="AR77" s="397"/>
      <c r="AS77" s="397"/>
      <c r="AT77" s="397"/>
      <c r="AU77" s="397"/>
      <c r="AV77" s="397"/>
      <c r="AW77" s="397"/>
      <c r="AX77" s="397"/>
      <c r="AY77" s="397"/>
      <c r="AZ77" s="397"/>
      <c r="BA77" s="397"/>
      <c r="BB77" s="397"/>
      <c r="BC77" s="397"/>
      <c r="BD77" s="397"/>
      <c r="BE77" s="397"/>
      <c r="BF77" s="397"/>
      <c r="BG77" s="397"/>
      <c r="BH77" s="397"/>
      <c r="BI77" s="397"/>
      <c r="BJ77" s="397"/>
      <c r="BK77" s="397"/>
      <c r="BL77" s="397"/>
      <c r="BM77" s="397"/>
      <c r="BN77" s="397"/>
      <c r="BO77" s="397"/>
      <c r="BP77" s="397"/>
    </row>
    <row r="78" spans="1:68" s="211" customFormat="1" x14ac:dyDescent="0.2">
      <c r="A78" s="392">
        <f>A77+1</f>
        <v>75</v>
      </c>
      <c r="B78" s="390" t="s">
        <v>265</v>
      </c>
      <c r="C78" s="396"/>
      <c r="D78" s="396"/>
      <c r="E78" s="512"/>
      <c r="F78" s="512"/>
      <c r="G78" s="512"/>
      <c r="H78" s="512"/>
      <c r="I78" s="512"/>
      <c r="J78" s="512"/>
      <c r="K78" s="512"/>
      <c r="L78" s="512"/>
      <c r="M78" s="512"/>
      <c r="N78" s="512"/>
      <c r="O78" s="512"/>
      <c r="P78" s="512"/>
      <c r="Q78" s="512"/>
      <c r="R78" s="512"/>
      <c r="S78" s="512"/>
      <c r="T78" s="512"/>
      <c r="U78" s="512"/>
      <c r="V78" s="512"/>
      <c r="W78" s="512"/>
      <c r="X78" s="512"/>
      <c r="Y78" s="512"/>
      <c r="Z78" s="512"/>
      <c r="AA78" s="513"/>
      <c r="AB78" s="513">
        <v>824.4</v>
      </c>
      <c r="AC78" s="513">
        <v>5910</v>
      </c>
      <c r="AD78" s="513"/>
      <c r="AE78" s="513"/>
      <c r="AF78" s="513"/>
      <c r="AG78" s="550">
        <f t="shared" si="5"/>
        <v>6734.4</v>
      </c>
      <c r="AH78" s="102"/>
      <c r="AI78" s="102"/>
      <c r="AJ78" s="397"/>
      <c r="AK78" s="397"/>
      <c r="AL78" s="178"/>
      <c r="AM78" s="397"/>
      <c r="AN78" s="397"/>
      <c r="AO78" s="397"/>
      <c r="AQ78" s="397"/>
      <c r="AR78" s="397"/>
      <c r="AS78" s="397"/>
      <c r="AT78" s="397"/>
      <c r="AU78" s="397"/>
      <c r="AV78" s="397"/>
      <c r="AW78" s="397"/>
      <c r="AX78" s="397"/>
      <c r="AY78" s="397"/>
      <c r="AZ78" s="397"/>
      <c r="BA78" s="397"/>
      <c r="BB78" s="397"/>
      <c r="BC78" s="397"/>
      <c r="BD78" s="397"/>
      <c r="BE78" s="397"/>
      <c r="BF78" s="397"/>
      <c r="BG78" s="397"/>
      <c r="BH78" s="397"/>
      <c r="BI78" s="397"/>
      <c r="BJ78" s="397"/>
      <c r="BK78" s="397"/>
      <c r="BL78" s="397"/>
      <c r="BM78" s="397"/>
      <c r="BN78" s="397"/>
      <c r="BO78" s="397"/>
      <c r="BP78" s="397"/>
    </row>
    <row r="79" spans="1:68" s="211" customFormat="1" x14ac:dyDescent="0.2">
      <c r="A79" s="392">
        <f t="shared" ref="A79:A101" si="6">+A78+1</f>
        <v>76</v>
      </c>
      <c r="B79" s="390" t="s">
        <v>297</v>
      </c>
      <c r="C79" s="89"/>
      <c r="D79" s="89"/>
      <c r="E79" s="516"/>
      <c r="F79" s="516"/>
      <c r="G79" s="516"/>
      <c r="H79" s="512"/>
      <c r="I79" s="512"/>
      <c r="J79" s="512"/>
      <c r="K79" s="512"/>
      <c r="L79" s="512"/>
      <c r="M79" s="512"/>
      <c r="N79" s="512"/>
      <c r="O79" s="512"/>
      <c r="P79" s="512"/>
      <c r="Q79" s="512"/>
      <c r="R79" s="512"/>
      <c r="S79" s="512"/>
      <c r="T79" s="512"/>
      <c r="U79" s="512">
        <v>103037</v>
      </c>
      <c r="V79" s="512">
        <v>91026</v>
      </c>
      <c r="W79" s="512">
        <v>76529</v>
      </c>
      <c r="X79" s="512">
        <v>197258</v>
      </c>
      <c r="Y79" s="512">
        <v>59670</v>
      </c>
      <c r="Z79" s="512">
        <v>114000</v>
      </c>
      <c r="AA79" s="513">
        <v>122256.727</v>
      </c>
      <c r="AB79" s="513">
        <v>2264.2274436090229</v>
      </c>
      <c r="AC79" s="513"/>
      <c r="AD79" s="513">
        <v>27000</v>
      </c>
      <c r="AE79" s="513">
        <v>27000</v>
      </c>
      <c r="AF79" s="513"/>
      <c r="AG79" s="550">
        <f t="shared" si="5"/>
        <v>820040.95444360899</v>
      </c>
      <c r="AH79" s="102"/>
      <c r="AI79" s="102"/>
      <c r="AJ79" s="397"/>
      <c r="AK79" s="397"/>
      <c r="AL79" s="178"/>
      <c r="AM79" s="397"/>
      <c r="AN79" s="397"/>
      <c r="AO79" s="397"/>
      <c r="AQ79" s="397"/>
      <c r="AR79" s="397"/>
      <c r="AS79" s="397"/>
      <c r="AT79" s="397"/>
      <c r="AU79" s="397"/>
      <c r="AV79" s="397"/>
      <c r="AW79" s="397"/>
      <c r="AX79" s="397"/>
      <c r="AY79" s="397"/>
      <c r="AZ79" s="397"/>
      <c r="BA79" s="397"/>
      <c r="BB79" s="397"/>
      <c r="BC79" s="397"/>
      <c r="BD79" s="397"/>
      <c r="BE79" s="397"/>
      <c r="BF79" s="397"/>
      <c r="BG79" s="397"/>
      <c r="BH79" s="397"/>
      <c r="BI79" s="397"/>
      <c r="BJ79" s="397"/>
      <c r="BK79" s="397"/>
      <c r="BL79" s="397"/>
      <c r="BM79" s="397"/>
      <c r="BN79" s="397"/>
      <c r="BO79" s="397"/>
      <c r="BP79" s="397"/>
    </row>
    <row r="80" spans="1:68" s="211" customFormat="1" x14ac:dyDescent="0.2">
      <c r="A80" s="392">
        <f t="shared" si="6"/>
        <v>77</v>
      </c>
      <c r="B80" s="390" t="s">
        <v>281</v>
      </c>
      <c r="C80" s="89"/>
      <c r="D80" s="89"/>
      <c r="E80" s="516"/>
      <c r="F80" s="516"/>
      <c r="G80" s="516"/>
      <c r="H80" s="512"/>
      <c r="I80" s="512"/>
      <c r="J80" s="512"/>
      <c r="K80" s="512"/>
      <c r="L80" s="512"/>
      <c r="M80" s="512"/>
      <c r="N80" s="512"/>
      <c r="O80" s="512"/>
      <c r="P80" s="512"/>
      <c r="Q80" s="512"/>
      <c r="R80" s="512"/>
      <c r="S80" s="512"/>
      <c r="T80" s="512"/>
      <c r="U80" s="512"/>
      <c r="V80" s="512"/>
      <c r="W80" s="512"/>
      <c r="X80" s="512"/>
      <c r="Y80" s="512"/>
      <c r="Z80" s="512">
        <v>1388</v>
      </c>
      <c r="AA80" s="513">
        <v>5203</v>
      </c>
      <c r="AB80" s="513">
        <v>44895.467218748592</v>
      </c>
      <c r="AC80" s="513">
        <v>64604.209854666311</v>
      </c>
      <c r="AD80" s="513">
        <v>30038.740066641618</v>
      </c>
      <c r="AE80" s="513">
        <v>4211.9999999999882</v>
      </c>
      <c r="AF80" s="513">
        <v>5364.0000000000064</v>
      </c>
      <c r="AG80" s="550">
        <f t="shared" si="5"/>
        <v>155705.41714005652</v>
      </c>
      <c r="AH80" s="102"/>
      <c r="AI80" s="102"/>
      <c r="AJ80" s="397"/>
      <c r="AK80" s="397"/>
      <c r="AL80" s="178"/>
      <c r="AM80" s="397"/>
      <c r="AN80" s="397"/>
      <c r="AO80" s="397"/>
      <c r="AQ80" s="397"/>
      <c r="AR80" s="397"/>
      <c r="AS80" s="397"/>
      <c r="AT80" s="397"/>
      <c r="AU80" s="397"/>
      <c r="AV80" s="397"/>
      <c r="AW80" s="397"/>
      <c r="AX80" s="397"/>
      <c r="AY80" s="397"/>
      <c r="AZ80" s="397"/>
      <c r="BA80" s="397"/>
      <c r="BB80" s="397"/>
      <c r="BC80" s="397"/>
      <c r="BD80" s="397"/>
      <c r="BE80" s="397"/>
      <c r="BF80" s="397"/>
      <c r="BG80" s="397"/>
      <c r="BH80" s="397"/>
      <c r="BI80" s="397"/>
      <c r="BJ80" s="397"/>
      <c r="BK80" s="397"/>
      <c r="BL80" s="397"/>
      <c r="BM80" s="397"/>
      <c r="BN80" s="397"/>
      <c r="BO80" s="397"/>
      <c r="BP80" s="397"/>
    </row>
    <row r="81" spans="1:68" s="211" customFormat="1" x14ac:dyDescent="0.2">
      <c r="A81" s="392">
        <f t="shared" si="6"/>
        <v>78</v>
      </c>
      <c r="B81" s="390" t="s">
        <v>248</v>
      </c>
      <c r="C81" s="89"/>
      <c r="D81" s="89"/>
      <c r="E81" s="516"/>
      <c r="F81" s="516"/>
      <c r="G81" s="516"/>
      <c r="H81" s="512"/>
      <c r="I81" s="512"/>
      <c r="J81" s="512"/>
      <c r="K81" s="512"/>
      <c r="L81" s="512"/>
      <c r="M81" s="512"/>
      <c r="N81" s="512"/>
      <c r="O81" s="512"/>
      <c r="P81" s="512"/>
      <c r="Q81" s="512"/>
      <c r="R81" s="512"/>
      <c r="S81" s="512"/>
      <c r="T81" s="512"/>
      <c r="U81" s="512"/>
      <c r="V81" s="512"/>
      <c r="W81" s="512">
        <v>2000</v>
      </c>
      <c r="X81" s="512"/>
      <c r="Y81" s="512"/>
      <c r="Z81" s="512"/>
      <c r="AA81" s="513"/>
      <c r="AB81" s="513"/>
      <c r="AC81" s="513"/>
      <c r="AD81" s="513"/>
      <c r="AE81" s="513"/>
      <c r="AF81" s="513"/>
      <c r="AG81" s="550">
        <f t="shared" si="5"/>
        <v>2000</v>
      </c>
      <c r="AH81" s="102"/>
      <c r="AI81" s="102"/>
      <c r="AJ81" s="397"/>
      <c r="AK81" s="397"/>
      <c r="AL81" s="178"/>
      <c r="AM81" s="397"/>
      <c r="AN81" s="397"/>
      <c r="AO81" s="397"/>
      <c r="AQ81" s="397"/>
      <c r="AR81" s="397"/>
      <c r="AS81" s="397"/>
      <c r="AT81" s="397"/>
      <c r="AU81" s="397"/>
      <c r="AV81" s="397"/>
      <c r="AW81" s="397"/>
      <c r="AX81" s="397"/>
      <c r="AY81" s="397"/>
      <c r="AZ81" s="397"/>
      <c r="BA81" s="397"/>
      <c r="BB81" s="397"/>
      <c r="BC81" s="397"/>
      <c r="BD81" s="397"/>
      <c r="BE81" s="397"/>
      <c r="BF81" s="397"/>
      <c r="BG81" s="397"/>
      <c r="BH81" s="397"/>
      <c r="BI81" s="397"/>
      <c r="BJ81" s="397"/>
      <c r="BK81" s="397"/>
      <c r="BL81" s="397"/>
      <c r="BM81" s="397"/>
      <c r="BN81" s="397"/>
      <c r="BO81" s="397"/>
      <c r="BP81" s="397"/>
    </row>
    <row r="82" spans="1:68" s="211" customFormat="1" x14ac:dyDescent="0.2">
      <c r="A82" s="392">
        <f t="shared" si="6"/>
        <v>79</v>
      </c>
      <c r="B82" s="390" t="s">
        <v>247</v>
      </c>
      <c r="C82" s="89"/>
      <c r="D82" s="89"/>
      <c r="E82" s="516"/>
      <c r="F82" s="516"/>
      <c r="G82" s="516"/>
      <c r="H82" s="512"/>
      <c r="I82" s="512"/>
      <c r="J82" s="512"/>
      <c r="K82" s="512"/>
      <c r="L82" s="512"/>
      <c r="M82" s="512"/>
      <c r="N82" s="512"/>
      <c r="O82" s="512"/>
      <c r="P82" s="512"/>
      <c r="Q82" s="512"/>
      <c r="R82" s="512"/>
      <c r="S82" s="512"/>
      <c r="T82" s="512"/>
      <c r="U82" s="512"/>
      <c r="V82" s="512"/>
      <c r="W82" s="512"/>
      <c r="X82" s="512"/>
      <c r="Y82" s="512"/>
      <c r="Z82" s="512"/>
      <c r="AA82" s="513">
        <v>10750</v>
      </c>
      <c r="AB82" s="513"/>
      <c r="AC82" s="513"/>
      <c r="AD82" s="513"/>
      <c r="AE82" s="513"/>
      <c r="AF82" s="513"/>
      <c r="AG82" s="550">
        <f t="shared" si="5"/>
        <v>10750</v>
      </c>
      <c r="AH82" s="102"/>
      <c r="AI82" s="102"/>
      <c r="AJ82" s="397"/>
      <c r="AK82" s="397"/>
      <c r="AL82" s="178"/>
      <c r="AM82" s="397"/>
      <c r="AN82" s="397"/>
      <c r="AO82" s="397"/>
      <c r="AQ82" s="397"/>
      <c r="AR82" s="397"/>
      <c r="AS82" s="397"/>
      <c r="AT82" s="397"/>
      <c r="AU82" s="397"/>
      <c r="AV82" s="397"/>
      <c r="AW82" s="397"/>
      <c r="AX82" s="397"/>
      <c r="AY82" s="397"/>
      <c r="AZ82" s="397"/>
      <c r="BA82" s="397"/>
      <c r="BB82" s="397"/>
      <c r="BC82" s="397"/>
      <c r="BD82" s="397"/>
      <c r="BE82" s="397"/>
      <c r="BF82" s="397"/>
      <c r="BG82" s="397"/>
      <c r="BH82" s="397"/>
      <c r="BI82" s="397"/>
      <c r="BJ82" s="397"/>
      <c r="BK82" s="397"/>
      <c r="BL82" s="397"/>
      <c r="BM82" s="397"/>
      <c r="BN82" s="397"/>
      <c r="BO82" s="397"/>
      <c r="BP82" s="397"/>
    </row>
    <row r="83" spans="1:68" s="211" customFormat="1" x14ac:dyDescent="0.2">
      <c r="A83" s="392">
        <f t="shared" si="6"/>
        <v>80</v>
      </c>
      <c r="B83" s="390" t="s">
        <v>350</v>
      </c>
      <c r="C83" s="89"/>
      <c r="D83" s="89"/>
      <c r="E83" s="516"/>
      <c r="F83" s="516"/>
      <c r="G83" s="516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512"/>
      <c r="S83" s="512"/>
      <c r="T83" s="512"/>
      <c r="U83" s="512"/>
      <c r="V83" s="512"/>
      <c r="W83" s="512"/>
      <c r="X83" s="512"/>
      <c r="Y83" s="512"/>
      <c r="Z83" s="512"/>
      <c r="AA83" s="513"/>
      <c r="AB83" s="513"/>
      <c r="AC83" s="513"/>
      <c r="AD83" s="513"/>
      <c r="AE83" s="513">
        <v>4771.8100000000004</v>
      </c>
      <c r="AF83" s="513">
        <v>2896.09</v>
      </c>
      <c r="AG83" s="550">
        <f t="shared" si="5"/>
        <v>7667.9000000000005</v>
      </c>
      <c r="AH83" s="102"/>
      <c r="AI83" s="102"/>
      <c r="AJ83" s="397"/>
      <c r="AK83" s="397"/>
      <c r="AL83" s="178"/>
      <c r="AM83" s="397"/>
      <c r="AN83" s="397"/>
      <c r="AO83" s="397"/>
      <c r="AQ83" s="397"/>
      <c r="AR83" s="397"/>
      <c r="AS83" s="397"/>
      <c r="AT83" s="397"/>
      <c r="AU83" s="397"/>
      <c r="AV83" s="397"/>
      <c r="AW83" s="397"/>
      <c r="AX83" s="397"/>
      <c r="AY83" s="397"/>
      <c r="AZ83" s="397"/>
      <c r="BA83" s="397"/>
      <c r="BB83" s="397"/>
      <c r="BC83" s="397"/>
      <c r="BD83" s="397"/>
      <c r="BE83" s="397"/>
      <c r="BF83" s="397"/>
      <c r="BG83" s="397"/>
      <c r="BH83" s="397"/>
      <c r="BI83" s="397"/>
      <c r="BJ83" s="397"/>
      <c r="BK83" s="397"/>
      <c r="BL83" s="397"/>
      <c r="BM83" s="397"/>
      <c r="BN83" s="397"/>
      <c r="BO83" s="397"/>
      <c r="BP83" s="397"/>
    </row>
    <row r="84" spans="1:68" s="211" customFormat="1" x14ac:dyDescent="0.2">
      <c r="A84" s="392">
        <f t="shared" si="6"/>
        <v>81</v>
      </c>
      <c r="B84" s="390" t="s">
        <v>282</v>
      </c>
      <c r="C84" s="89"/>
      <c r="D84" s="89"/>
      <c r="E84" s="516"/>
      <c r="F84" s="516"/>
      <c r="G84" s="516"/>
      <c r="H84" s="512"/>
      <c r="I84" s="512"/>
      <c r="J84" s="512"/>
      <c r="K84" s="512"/>
      <c r="L84" s="512"/>
      <c r="M84" s="512"/>
      <c r="N84" s="512"/>
      <c r="O84" s="512"/>
      <c r="P84" s="512"/>
      <c r="Q84" s="512"/>
      <c r="R84" s="512"/>
      <c r="S84" s="512"/>
      <c r="T84" s="512"/>
      <c r="U84" s="512"/>
      <c r="V84" s="512"/>
      <c r="W84" s="512"/>
      <c r="X84" s="512"/>
      <c r="Y84" s="512"/>
      <c r="Z84" s="512">
        <v>64026</v>
      </c>
      <c r="AA84" s="513">
        <v>15596</v>
      </c>
      <c r="AB84" s="513"/>
      <c r="AC84" s="513"/>
      <c r="AD84" s="513"/>
      <c r="AE84" s="513"/>
      <c r="AF84" s="513"/>
      <c r="AG84" s="550">
        <f t="shared" si="5"/>
        <v>79622</v>
      </c>
      <c r="AH84" s="102"/>
      <c r="AI84" s="102"/>
      <c r="AJ84" s="397"/>
      <c r="AK84" s="397"/>
      <c r="AL84" s="178"/>
      <c r="AM84" s="397"/>
      <c r="AN84" s="397"/>
      <c r="AO84" s="397"/>
      <c r="AQ84" s="397"/>
      <c r="AR84" s="397"/>
      <c r="AS84" s="397"/>
      <c r="AT84" s="397"/>
      <c r="AU84" s="397"/>
      <c r="AV84" s="397"/>
      <c r="AW84" s="397"/>
      <c r="AX84" s="397"/>
      <c r="AY84" s="397"/>
      <c r="AZ84" s="397"/>
      <c r="BA84" s="397"/>
      <c r="BB84" s="397"/>
      <c r="BC84" s="397"/>
      <c r="BD84" s="397"/>
      <c r="BE84" s="397"/>
      <c r="BF84" s="397"/>
      <c r="BG84" s="397"/>
      <c r="BH84" s="397"/>
      <c r="BI84" s="397"/>
      <c r="BJ84" s="397"/>
      <c r="BK84" s="397"/>
      <c r="BL84" s="397"/>
      <c r="BM84" s="397"/>
      <c r="BN84" s="397"/>
      <c r="BO84" s="397"/>
      <c r="BP84" s="397"/>
    </row>
    <row r="85" spans="1:68" s="211" customFormat="1" x14ac:dyDescent="0.2">
      <c r="A85" s="392">
        <f t="shared" si="6"/>
        <v>82</v>
      </c>
      <c r="B85" s="390" t="s">
        <v>283</v>
      </c>
      <c r="C85" s="89"/>
      <c r="D85" s="89"/>
      <c r="E85" s="516"/>
      <c r="F85" s="516"/>
      <c r="G85" s="516"/>
      <c r="H85" s="512"/>
      <c r="I85" s="512"/>
      <c r="J85" s="512"/>
      <c r="K85" s="512"/>
      <c r="L85" s="512"/>
      <c r="M85" s="512"/>
      <c r="N85" s="512"/>
      <c r="O85" s="512"/>
      <c r="P85" s="512"/>
      <c r="Q85" s="512"/>
      <c r="R85" s="512"/>
      <c r="S85" s="512"/>
      <c r="T85" s="512"/>
      <c r="U85" s="512"/>
      <c r="V85" s="512"/>
      <c r="W85" s="512"/>
      <c r="X85" s="512"/>
      <c r="Y85" s="512"/>
      <c r="Z85" s="512"/>
      <c r="AA85" s="513">
        <v>37343</v>
      </c>
      <c r="AB85" s="513">
        <v>158338.5</v>
      </c>
      <c r="AC85" s="513">
        <v>31892.5</v>
      </c>
      <c r="AD85" s="513"/>
      <c r="AE85" s="513"/>
      <c r="AF85" s="513"/>
      <c r="AG85" s="550">
        <f t="shared" si="5"/>
        <v>227574</v>
      </c>
      <c r="AH85" s="102"/>
      <c r="AI85" s="102"/>
      <c r="AJ85" s="397"/>
      <c r="AK85" s="397"/>
      <c r="AL85" s="178"/>
      <c r="AM85" s="397"/>
      <c r="AN85" s="397"/>
      <c r="AO85" s="397"/>
      <c r="AQ85" s="397"/>
      <c r="AR85" s="397"/>
      <c r="AS85" s="397"/>
      <c r="AT85" s="397"/>
      <c r="AU85" s="397"/>
      <c r="AV85" s="397"/>
      <c r="AW85" s="397"/>
      <c r="AX85" s="397"/>
      <c r="AY85" s="397"/>
      <c r="AZ85" s="397"/>
      <c r="BA85" s="397"/>
      <c r="BB85" s="397"/>
      <c r="BC85" s="397"/>
      <c r="BD85" s="397"/>
      <c r="BE85" s="397"/>
      <c r="BF85" s="397"/>
      <c r="BG85" s="397"/>
      <c r="BH85" s="397"/>
      <c r="BI85" s="397"/>
      <c r="BJ85" s="397"/>
      <c r="BK85" s="397"/>
      <c r="BL85" s="397"/>
      <c r="BM85" s="397"/>
      <c r="BN85" s="397"/>
      <c r="BO85" s="397"/>
      <c r="BP85" s="397"/>
    </row>
    <row r="86" spans="1:68" s="211" customFormat="1" x14ac:dyDescent="0.2">
      <c r="A86" s="392">
        <f t="shared" si="6"/>
        <v>83</v>
      </c>
      <c r="B86" s="390" t="s">
        <v>284</v>
      </c>
      <c r="C86" s="89"/>
      <c r="D86" s="89"/>
      <c r="E86" s="516"/>
      <c r="F86" s="516"/>
      <c r="G86" s="516"/>
      <c r="H86" s="512"/>
      <c r="I86" s="512"/>
      <c r="J86" s="512"/>
      <c r="K86" s="512"/>
      <c r="L86" s="512"/>
      <c r="M86" s="512"/>
      <c r="N86" s="512"/>
      <c r="O86" s="512"/>
      <c r="P86" s="512"/>
      <c r="Q86" s="512"/>
      <c r="R86" s="512"/>
      <c r="S86" s="512"/>
      <c r="T86" s="512">
        <v>237</v>
      </c>
      <c r="U86" s="512">
        <v>197</v>
      </c>
      <c r="V86" s="512">
        <v>548</v>
      </c>
      <c r="W86" s="512">
        <v>292</v>
      </c>
      <c r="X86" s="512">
        <v>228</v>
      </c>
      <c r="Y86" s="512">
        <v>1057</v>
      </c>
      <c r="Z86" s="512">
        <v>23196</v>
      </c>
      <c r="AA86" s="513"/>
      <c r="AB86" s="513"/>
      <c r="AC86" s="513"/>
      <c r="AD86" s="513"/>
      <c r="AE86" s="513"/>
      <c r="AF86" s="513"/>
      <c r="AG86" s="550">
        <f t="shared" si="5"/>
        <v>25755</v>
      </c>
      <c r="AH86" s="102"/>
      <c r="AI86" s="102"/>
      <c r="AJ86" s="397"/>
      <c r="AK86" s="397"/>
      <c r="AL86" s="178"/>
      <c r="AM86" s="397"/>
      <c r="AN86" s="397"/>
      <c r="AO86" s="397"/>
      <c r="AQ86" s="397"/>
      <c r="AR86" s="397"/>
      <c r="AS86" s="397"/>
      <c r="AT86" s="397"/>
      <c r="AU86" s="397"/>
      <c r="AV86" s="397"/>
      <c r="AW86" s="397"/>
      <c r="AX86" s="397"/>
      <c r="AY86" s="397"/>
      <c r="AZ86" s="397"/>
      <c r="BA86" s="397"/>
      <c r="BB86" s="397"/>
      <c r="BC86" s="397"/>
      <c r="BD86" s="397"/>
      <c r="BE86" s="397"/>
      <c r="BF86" s="397"/>
      <c r="BG86" s="397"/>
      <c r="BH86" s="397"/>
      <c r="BI86" s="397"/>
      <c r="BJ86" s="397"/>
      <c r="BK86" s="397"/>
      <c r="BL86" s="397"/>
      <c r="BM86" s="397"/>
      <c r="BN86" s="397"/>
      <c r="BO86" s="397"/>
      <c r="BP86" s="397"/>
    </row>
    <row r="87" spans="1:68" s="211" customFormat="1" x14ac:dyDescent="0.2">
      <c r="A87" s="392">
        <f t="shared" si="6"/>
        <v>84</v>
      </c>
      <c r="B87" s="390" t="s">
        <v>354</v>
      </c>
      <c r="C87" s="89"/>
      <c r="D87" s="89"/>
      <c r="E87" s="516"/>
      <c r="F87" s="516"/>
      <c r="G87" s="516"/>
      <c r="H87" s="512"/>
      <c r="I87" s="512"/>
      <c r="J87" s="512"/>
      <c r="K87" s="512"/>
      <c r="L87" s="512"/>
      <c r="M87" s="512"/>
      <c r="N87" s="512"/>
      <c r="O87" s="512"/>
      <c r="P87" s="512"/>
      <c r="Q87" s="512"/>
      <c r="R87" s="512"/>
      <c r="S87" s="512"/>
      <c r="T87" s="512"/>
      <c r="U87" s="512"/>
      <c r="V87" s="512"/>
      <c r="W87" s="512"/>
      <c r="X87" s="512"/>
      <c r="Y87" s="512"/>
      <c r="Z87" s="512"/>
      <c r="AA87" s="513"/>
      <c r="AB87" s="513"/>
      <c r="AC87" s="513"/>
      <c r="AD87" s="513"/>
      <c r="AE87" s="513">
        <v>24870.424000000003</v>
      </c>
      <c r="AF87" s="513"/>
      <c r="AG87" s="550">
        <f t="shared" si="5"/>
        <v>24870.424000000003</v>
      </c>
      <c r="AH87" s="102"/>
      <c r="AI87" s="102"/>
      <c r="AJ87" s="397"/>
      <c r="AK87" s="397"/>
      <c r="AL87" s="178"/>
      <c r="AM87" s="397"/>
      <c r="AN87" s="397"/>
      <c r="AO87" s="397"/>
      <c r="AQ87" s="397"/>
      <c r="AR87" s="397"/>
      <c r="AS87" s="397"/>
      <c r="AT87" s="397"/>
      <c r="AU87" s="397"/>
      <c r="AV87" s="397"/>
      <c r="AW87" s="397"/>
      <c r="AX87" s="397"/>
      <c r="AY87" s="397"/>
      <c r="AZ87" s="397"/>
      <c r="BA87" s="397"/>
      <c r="BB87" s="397"/>
      <c r="BC87" s="397"/>
      <c r="BD87" s="397"/>
      <c r="BE87" s="397"/>
      <c r="BF87" s="397"/>
      <c r="BG87" s="397"/>
      <c r="BH87" s="397"/>
      <c r="BI87" s="397"/>
      <c r="BJ87" s="397"/>
      <c r="BK87" s="397"/>
      <c r="BL87" s="397"/>
      <c r="BM87" s="397"/>
      <c r="BN87" s="397"/>
      <c r="BO87" s="397"/>
      <c r="BP87" s="397"/>
    </row>
    <row r="88" spans="1:68" s="211" customFormat="1" x14ac:dyDescent="0.2">
      <c r="A88" s="392">
        <f t="shared" si="6"/>
        <v>85</v>
      </c>
      <c r="B88" s="390" t="s">
        <v>250</v>
      </c>
      <c r="C88" s="89"/>
      <c r="D88" s="89"/>
      <c r="E88" s="516"/>
      <c r="F88" s="516"/>
      <c r="G88" s="516"/>
      <c r="H88" s="512"/>
      <c r="I88" s="512"/>
      <c r="J88" s="512"/>
      <c r="K88" s="512"/>
      <c r="L88" s="512"/>
      <c r="M88" s="512"/>
      <c r="N88" s="512"/>
      <c r="O88" s="512"/>
      <c r="P88" s="512"/>
      <c r="Q88" s="512"/>
      <c r="R88" s="512"/>
      <c r="S88" s="512"/>
      <c r="T88" s="512"/>
      <c r="U88" s="512"/>
      <c r="V88" s="512"/>
      <c r="W88" s="512">
        <v>7709</v>
      </c>
      <c r="X88" s="512"/>
      <c r="Y88" s="512"/>
      <c r="Z88" s="512"/>
      <c r="AA88" s="513"/>
      <c r="AB88" s="513"/>
      <c r="AC88" s="513"/>
      <c r="AD88" s="513">
        <v>1197.31234915762</v>
      </c>
      <c r="AE88" s="513">
        <v>384.9</v>
      </c>
      <c r="AF88" s="513">
        <v>158.84538984714709</v>
      </c>
      <c r="AG88" s="550">
        <f t="shared" si="5"/>
        <v>9450.0577390047674</v>
      </c>
      <c r="AH88" s="102"/>
      <c r="AI88" s="102"/>
      <c r="AJ88" s="397"/>
      <c r="AK88" s="397"/>
      <c r="AL88" s="178"/>
      <c r="AM88" s="397"/>
      <c r="AN88" s="397"/>
      <c r="AO88" s="397"/>
      <c r="AQ88" s="397"/>
      <c r="AR88" s="397"/>
      <c r="AS88" s="397"/>
      <c r="AT88" s="397"/>
      <c r="AU88" s="397"/>
      <c r="AV88" s="397"/>
      <c r="AW88" s="397"/>
      <c r="AX88" s="397"/>
      <c r="AY88" s="397"/>
      <c r="AZ88" s="397"/>
      <c r="BA88" s="397"/>
      <c r="BB88" s="397"/>
      <c r="BC88" s="397"/>
      <c r="BD88" s="397"/>
      <c r="BE88" s="397"/>
      <c r="BF88" s="397"/>
      <c r="BG88" s="397"/>
      <c r="BH88" s="397"/>
      <c r="BI88" s="397"/>
      <c r="BJ88" s="397"/>
      <c r="BK88" s="397"/>
      <c r="BL88" s="397"/>
      <c r="BM88" s="397"/>
      <c r="BN88" s="397"/>
      <c r="BO88" s="397"/>
      <c r="BP88" s="397"/>
    </row>
    <row r="89" spans="1:68" s="211" customFormat="1" x14ac:dyDescent="0.2">
      <c r="A89" s="392">
        <f t="shared" si="6"/>
        <v>86</v>
      </c>
      <c r="B89" s="390" t="s">
        <v>251</v>
      </c>
      <c r="C89" s="396"/>
      <c r="D89" s="396"/>
      <c r="E89" s="512"/>
      <c r="F89" s="512"/>
      <c r="G89" s="512"/>
      <c r="H89" s="512"/>
      <c r="I89" s="512"/>
      <c r="J89" s="512"/>
      <c r="K89" s="512"/>
      <c r="L89" s="512"/>
      <c r="M89" s="512"/>
      <c r="N89" s="512"/>
      <c r="O89" s="512"/>
      <c r="P89" s="512"/>
      <c r="Q89" s="512"/>
      <c r="R89" s="512"/>
      <c r="S89" s="512"/>
      <c r="T89" s="512"/>
      <c r="U89" s="512"/>
      <c r="V89" s="512"/>
      <c r="W89" s="512"/>
      <c r="X89" s="512"/>
      <c r="Y89" s="512"/>
      <c r="Z89" s="512"/>
      <c r="AA89" s="513">
        <v>446428.57142857148</v>
      </c>
      <c r="AB89" s="513"/>
      <c r="AC89" s="513"/>
      <c r="AD89" s="513"/>
      <c r="AE89" s="513"/>
      <c r="AF89" s="513"/>
      <c r="AG89" s="550">
        <f t="shared" si="5"/>
        <v>446428.57142857148</v>
      </c>
      <c r="AH89" s="102"/>
      <c r="AI89" s="102"/>
      <c r="AJ89" s="397"/>
      <c r="AK89" s="397"/>
      <c r="AL89" s="178"/>
      <c r="AM89" s="397"/>
      <c r="AN89" s="397"/>
      <c r="AO89" s="397"/>
      <c r="AQ89" s="397"/>
      <c r="AR89" s="397"/>
      <c r="AS89" s="397"/>
      <c r="AT89" s="397"/>
      <c r="AU89" s="397"/>
      <c r="AV89" s="397"/>
      <c r="AW89" s="397"/>
      <c r="AX89" s="397"/>
      <c r="AY89" s="397"/>
      <c r="AZ89" s="397"/>
      <c r="BA89" s="397"/>
      <c r="BB89" s="397"/>
      <c r="BC89" s="397"/>
      <c r="BD89" s="397"/>
      <c r="BE89" s="397"/>
      <c r="BF89" s="397"/>
      <c r="BG89" s="397"/>
      <c r="BH89" s="397"/>
      <c r="BI89" s="397"/>
      <c r="BJ89" s="397"/>
      <c r="BK89" s="397"/>
      <c r="BL89" s="397"/>
      <c r="BM89" s="397"/>
      <c r="BN89" s="397"/>
      <c r="BO89" s="397"/>
      <c r="BP89" s="397"/>
    </row>
    <row r="90" spans="1:68" s="211" customFormat="1" x14ac:dyDescent="0.2">
      <c r="A90" s="392">
        <f t="shared" si="6"/>
        <v>87</v>
      </c>
      <c r="B90" s="390" t="s">
        <v>130</v>
      </c>
      <c r="C90" s="89"/>
      <c r="D90" s="89"/>
      <c r="E90" s="516"/>
      <c r="F90" s="516"/>
      <c r="G90" s="516"/>
      <c r="H90" s="512"/>
      <c r="I90" s="512"/>
      <c r="J90" s="512"/>
      <c r="K90" s="512"/>
      <c r="L90" s="512"/>
      <c r="M90" s="512"/>
      <c r="N90" s="512"/>
      <c r="O90" s="512"/>
      <c r="P90" s="512"/>
      <c r="Q90" s="512"/>
      <c r="R90" s="512"/>
      <c r="S90" s="512">
        <v>120</v>
      </c>
      <c r="T90" s="512">
        <v>515</v>
      </c>
      <c r="U90" s="512">
        <v>578</v>
      </c>
      <c r="V90" s="512">
        <v>1156</v>
      </c>
      <c r="W90" s="514" t="s">
        <v>75</v>
      </c>
      <c r="X90" s="514" t="s">
        <v>75</v>
      </c>
      <c r="Y90" s="514" t="s">
        <v>75</v>
      </c>
      <c r="Z90" s="514" t="s">
        <v>75</v>
      </c>
      <c r="AA90" s="515" t="s">
        <v>75</v>
      </c>
      <c r="AB90" s="515"/>
      <c r="AC90" s="515"/>
      <c r="AD90" s="515"/>
      <c r="AE90" s="515"/>
      <c r="AF90" s="515"/>
      <c r="AG90" s="550">
        <f t="shared" si="5"/>
        <v>2369</v>
      </c>
      <c r="AH90" s="102"/>
      <c r="AI90" s="102"/>
      <c r="AJ90" s="397"/>
      <c r="AK90" s="397"/>
      <c r="AL90" s="178"/>
      <c r="AM90" s="397"/>
      <c r="AN90" s="397"/>
      <c r="AO90" s="397"/>
      <c r="AQ90" s="397"/>
      <c r="AR90" s="397"/>
      <c r="AS90" s="397"/>
      <c r="AT90" s="397"/>
      <c r="AU90" s="397"/>
      <c r="AV90" s="397"/>
      <c r="AW90" s="397"/>
      <c r="AX90" s="397"/>
      <c r="AY90" s="397"/>
      <c r="AZ90" s="397"/>
      <c r="BA90" s="397"/>
      <c r="BB90" s="397"/>
      <c r="BC90" s="397"/>
      <c r="BD90" s="397"/>
      <c r="BE90" s="397"/>
      <c r="BF90" s="397"/>
      <c r="BG90" s="397"/>
      <c r="BH90" s="397"/>
      <c r="BI90" s="397"/>
      <c r="BJ90" s="397"/>
      <c r="BK90" s="397"/>
      <c r="BL90" s="397"/>
      <c r="BM90" s="397"/>
      <c r="BN90" s="397"/>
      <c r="BO90" s="397"/>
      <c r="BP90" s="397"/>
    </row>
    <row r="91" spans="1:68" s="211" customFormat="1" x14ac:dyDescent="0.2">
      <c r="A91" s="392">
        <f t="shared" si="6"/>
        <v>88</v>
      </c>
      <c r="B91" s="390" t="s">
        <v>266</v>
      </c>
      <c r="C91" s="396"/>
      <c r="D91" s="396"/>
      <c r="E91" s="512"/>
      <c r="F91" s="512"/>
      <c r="G91" s="512"/>
      <c r="H91" s="512"/>
      <c r="I91" s="512"/>
      <c r="J91" s="512"/>
      <c r="K91" s="512"/>
      <c r="L91" s="512"/>
      <c r="M91" s="512"/>
      <c r="N91" s="512"/>
      <c r="O91" s="512"/>
      <c r="P91" s="512"/>
      <c r="Q91" s="512"/>
      <c r="R91" s="512"/>
      <c r="S91" s="512"/>
      <c r="T91" s="512"/>
      <c r="U91" s="512"/>
      <c r="V91" s="512"/>
      <c r="W91" s="514"/>
      <c r="X91" s="514"/>
      <c r="Y91" s="514"/>
      <c r="Z91" s="514"/>
      <c r="AA91" s="515"/>
      <c r="AB91" s="515">
        <v>218000</v>
      </c>
      <c r="AC91" s="515">
        <v>38345.342000000004</v>
      </c>
      <c r="AD91" s="515"/>
      <c r="AE91" s="515"/>
      <c r="AF91" s="515"/>
      <c r="AG91" s="550">
        <f t="shared" si="5"/>
        <v>256345.342</v>
      </c>
      <c r="AH91" s="102"/>
      <c r="AI91" s="102"/>
      <c r="AJ91" s="397"/>
      <c r="AK91" s="397"/>
      <c r="AL91" s="178"/>
      <c r="AM91" s="397"/>
      <c r="AN91" s="397"/>
      <c r="AO91" s="397"/>
      <c r="AQ91" s="397"/>
      <c r="AR91" s="397"/>
      <c r="AS91" s="397"/>
      <c r="AT91" s="397"/>
      <c r="AU91" s="397"/>
      <c r="AV91" s="397"/>
      <c r="AW91" s="397"/>
      <c r="AX91" s="397"/>
      <c r="AY91" s="397"/>
      <c r="AZ91" s="397"/>
      <c r="BA91" s="397"/>
      <c r="BB91" s="397"/>
      <c r="BC91" s="397"/>
      <c r="BD91" s="397"/>
      <c r="BE91" s="397"/>
      <c r="BF91" s="397"/>
      <c r="BG91" s="397"/>
      <c r="BH91" s="397"/>
      <c r="BI91" s="397"/>
      <c r="BJ91" s="397"/>
      <c r="BK91" s="397"/>
      <c r="BL91" s="397"/>
      <c r="BM91" s="397"/>
      <c r="BN91" s="397"/>
      <c r="BO91" s="397"/>
      <c r="BP91" s="397"/>
    </row>
    <row r="92" spans="1:68" s="211" customFormat="1" x14ac:dyDescent="0.2">
      <c r="A92" s="392">
        <f t="shared" si="6"/>
        <v>89</v>
      </c>
      <c r="B92" s="390" t="s">
        <v>285</v>
      </c>
      <c r="C92" s="89"/>
      <c r="D92" s="89"/>
      <c r="E92" s="516"/>
      <c r="F92" s="516"/>
      <c r="G92" s="516"/>
      <c r="H92" s="512"/>
      <c r="I92" s="512"/>
      <c r="J92" s="512"/>
      <c r="K92" s="512"/>
      <c r="L92" s="512"/>
      <c r="M92" s="512">
        <v>894</v>
      </c>
      <c r="N92" s="512">
        <v>1554</v>
      </c>
      <c r="O92" s="512">
        <v>644</v>
      </c>
      <c r="P92" s="512">
        <v>311</v>
      </c>
      <c r="Q92" s="512">
        <v>538</v>
      </c>
      <c r="R92" s="512">
        <v>427</v>
      </c>
      <c r="S92" s="512">
        <v>1041</v>
      </c>
      <c r="T92" s="512">
        <v>140</v>
      </c>
      <c r="U92" s="512">
        <v>37</v>
      </c>
      <c r="V92" s="512">
        <v>72</v>
      </c>
      <c r="W92" s="512">
        <v>161</v>
      </c>
      <c r="X92" s="512">
        <v>135</v>
      </c>
      <c r="Y92" s="512">
        <v>101</v>
      </c>
      <c r="Z92" s="512">
        <v>83</v>
      </c>
      <c r="AA92" s="513">
        <v>473</v>
      </c>
      <c r="AB92" s="513">
        <v>33326</v>
      </c>
      <c r="AC92" s="513">
        <v>547.20000000000005</v>
      </c>
      <c r="AD92" s="513">
        <v>76</v>
      </c>
      <c r="AE92" s="513">
        <v>518</v>
      </c>
      <c r="AF92" s="513">
        <v>133</v>
      </c>
      <c r="AG92" s="550">
        <f t="shared" si="5"/>
        <v>41211.199999999997</v>
      </c>
      <c r="AH92" s="102"/>
      <c r="AI92" s="102"/>
      <c r="AJ92" s="397"/>
      <c r="AK92" s="397"/>
      <c r="AL92" s="178"/>
      <c r="AM92" s="397"/>
      <c r="AN92" s="397"/>
      <c r="AO92" s="397"/>
      <c r="AQ92" s="397"/>
      <c r="AR92" s="397"/>
      <c r="AS92" s="397"/>
      <c r="AT92" s="397"/>
      <c r="AU92" s="397"/>
      <c r="AV92" s="397"/>
      <c r="AW92" s="397"/>
      <c r="AX92" s="397"/>
      <c r="AY92" s="397"/>
      <c r="AZ92" s="397"/>
      <c r="BA92" s="397"/>
      <c r="BB92" s="397"/>
      <c r="BC92" s="397"/>
      <c r="BD92" s="397"/>
      <c r="BE92" s="397"/>
      <c r="BF92" s="397"/>
      <c r="BG92" s="397"/>
      <c r="BH92" s="397"/>
      <c r="BI92" s="397"/>
      <c r="BJ92" s="397"/>
      <c r="BK92" s="397"/>
      <c r="BL92" s="397"/>
      <c r="BM92" s="397"/>
      <c r="BN92" s="397"/>
      <c r="BO92" s="397"/>
      <c r="BP92" s="397"/>
    </row>
    <row r="93" spans="1:68" s="211" customFormat="1" x14ac:dyDescent="0.2">
      <c r="A93" s="392">
        <f t="shared" si="6"/>
        <v>90</v>
      </c>
      <c r="B93" s="390" t="s">
        <v>286</v>
      </c>
      <c r="C93" s="89"/>
      <c r="D93" s="89"/>
      <c r="E93" s="516"/>
      <c r="F93" s="516"/>
      <c r="G93" s="516"/>
      <c r="H93" s="512"/>
      <c r="I93" s="512"/>
      <c r="J93" s="512"/>
      <c r="K93" s="512">
        <v>100</v>
      </c>
      <c r="L93" s="512"/>
      <c r="M93" s="512"/>
      <c r="N93" s="512">
        <v>560</v>
      </c>
      <c r="O93" s="512">
        <v>6696</v>
      </c>
      <c r="P93" s="512">
        <v>5960</v>
      </c>
      <c r="Q93" s="512">
        <v>987</v>
      </c>
      <c r="R93" s="512"/>
      <c r="S93" s="512">
        <v>207</v>
      </c>
      <c r="T93" s="512">
        <v>1622</v>
      </c>
      <c r="U93" s="512">
        <v>8403</v>
      </c>
      <c r="V93" s="512">
        <v>11771</v>
      </c>
      <c r="W93" s="512">
        <v>980</v>
      </c>
      <c r="X93" s="512">
        <v>532</v>
      </c>
      <c r="Y93" s="512">
        <v>761</v>
      </c>
      <c r="Z93" s="512">
        <v>8515.9</v>
      </c>
      <c r="AA93" s="513">
        <v>20152.800000000003</v>
      </c>
      <c r="AB93" s="513">
        <v>25562.697911856914</v>
      </c>
      <c r="AC93" s="513">
        <v>7169.7309020797566</v>
      </c>
      <c r="AD93" s="513"/>
      <c r="AE93" s="513">
        <v>55.66</v>
      </c>
      <c r="AF93" s="513"/>
      <c r="AG93" s="550">
        <f t="shared" si="5"/>
        <v>100035.78881393668</v>
      </c>
      <c r="AH93" s="102"/>
      <c r="AI93" s="102"/>
      <c r="AJ93" s="397"/>
      <c r="AK93" s="397"/>
      <c r="AL93" s="178"/>
      <c r="AM93" s="397"/>
      <c r="AN93" s="397"/>
      <c r="AO93" s="397"/>
      <c r="AQ93" s="397"/>
      <c r="AR93" s="397"/>
      <c r="AS93" s="397"/>
      <c r="AT93" s="397"/>
      <c r="AU93" s="397"/>
      <c r="AV93" s="397"/>
      <c r="AW93" s="397"/>
      <c r="AX93" s="397"/>
      <c r="AY93" s="397"/>
      <c r="AZ93" s="397"/>
      <c r="BA93" s="397"/>
      <c r="BB93" s="397"/>
      <c r="BC93" s="397"/>
      <c r="BD93" s="397"/>
      <c r="BE93" s="397"/>
      <c r="BF93" s="397"/>
      <c r="BG93" s="397"/>
      <c r="BH93" s="397"/>
      <c r="BI93" s="397"/>
      <c r="BJ93" s="397"/>
      <c r="BK93" s="397"/>
      <c r="BL93" s="397"/>
      <c r="BM93" s="397"/>
      <c r="BN93" s="397"/>
      <c r="BO93" s="397"/>
      <c r="BP93" s="397"/>
    </row>
    <row r="94" spans="1:68" s="211" customFormat="1" x14ac:dyDescent="0.2">
      <c r="A94" s="392">
        <f t="shared" si="6"/>
        <v>91</v>
      </c>
      <c r="B94" s="390" t="s">
        <v>288</v>
      </c>
      <c r="C94" s="89"/>
      <c r="D94" s="89"/>
      <c r="E94" s="516"/>
      <c r="F94" s="516"/>
      <c r="G94" s="516"/>
      <c r="H94" s="512"/>
      <c r="I94" s="512"/>
      <c r="J94" s="512"/>
      <c r="K94" s="512"/>
      <c r="L94" s="512"/>
      <c r="M94" s="512"/>
      <c r="N94" s="512"/>
      <c r="O94" s="512"/>
      <c r="P94" s="512"/>
      <c r="Q94" s="512"/>
      <c r="R94" s="512"/>
      <c r="S94" s="512"/>
      <c r="T94" s="512"/>
      <c r="U94" s="512"/>
      <c r="V94" s="512"/>
      <c r="W94" s="512"/>
      <c r="X94" s="512"/>
      <c r="Y94" s="512"/>
      <c r="Z94" s="512"/>
      <c r="AA94" s="513"/>
      <c r="AB94" s="513">
        <v>102530</v>
      </c>
      <c r="AC94" s="513"/>
      <c r="AD94" s="513"/>
      <c r="AE94" s="513"/>
      <c r="AF94" s="513"/>
      <c r="AG94" s="550">
        <f t="shared" si="5"/>
        <v>102530</v>
      </c>
      <c r="AH94" s="102"/>
      <c r="AI94" s="102"/>
      <c r="AJ94" s="397"/>
      <c r="AK94" s="397"/>
      <c r="AL94" s="178"/>
      <c r="AM94" s="397"/>
      <c r="AN94" s="397"/>
      <c r="AO94" s="397"/>
      <c r="AQ94" s="397"/>
      <c r="AR94" s="397"/>
      <c r="AS94" s="397"/>
      <c r="AT94" s="397"/>
      <c r="AU94" s="397"/>
      <c r="AV94" s="397"/>
      <c r="AW94" s="397"/>
      <c r="AX94" s="397"/>
      <c r="AY94" s="397"/>
      <c r="AZ94" s="397"/>
      <c r="BA94" s="397"/>
      <c r="BB94" s="397"/>
      <c r="BC94" s="397"/>
      <c r="BD94" s="397"/>
      <c r="BE94" s="397"/>
      <c r="BF94" s="397"/>
      <c r="BG94" s="397"/>
      <c r="BH94" s="397"/>
      <c r="BI94" s="397"/>
      <c r="BJ94" s="397"/>
      <c r="BK94" s="397"/>
      <c r="BL94" s="397"/>
      <c r="BM94" s="397"/>
      <c r="BN94" s="397"/>
      <c r="BO94" s="397"/>
      <c r="BP94" s="397"/>
    </row>
    <row r="95" spans="1:68" s="211" customFormat="1" x14ac:dyDescent="0.2">
      <c r="A95" s="392">
        <f t="shared" si="6"/>
        <v>92</v>
      </c>
      <c r="B95" s="390" t="s">
        <v>131</v>
      </c>
      <c r="C95" s="396"/>
      <c r="D95" s="396"/>
      <c r="E95" s="512"/>
      <c r="F95" s="512"/>
      <c r="G95" s="512"/>
      <c r="H95" s="512">
        <v>14</v>
      </c>
      <c r="I95" s="512">
        <v>144</v>
      </c>
      <c r="J95" s="512">
        <v>667</v>
      </c>
      <c r="K95" s="512">
        <v>363</v>
      </c>
      <c r="L95" s="512">
        <v>379</v>
      </c>
      <c r="M95" s="512">
        <v>3286</v>
      </c>
      <c r="N95" s="512">
        <v>12544</v>
      </c>
      <c r="O95" s="512">
        <v>4375</v>
      </c>
      <c r="P95" s="512"/>
      <c r="Q95" s="512">
        <v>231</v>
      </c>
      <c r="R95" s="512">
        <v>38.64</v>
      </c>
      <c r="S95" s="512"/>
      <c r="T95" s="512"/>
      <c r="U95" s="512"/>
      <c r="V95" s="512"/>
      <c r="W95" s="512"/>
      <c r="X95" s="512"/>
      <c r="Y95" s="512"/>
      <c r="Z95" s="512"/>
      <c r="AA95" s="513"/>
      <c r="AB95" s="513"/>
      <c r="AC95" s="513"/>
      <c r="AD95" s="513"/>
      <c r="AE95" s="513"/>
      <c r="AF95" s="513"/>
      <c r="AG95" s="550">
        <f t="shared" si="5"/>
        <v>22041.64</v>
      </c>
      <c r="AH95" s="102"/>
      <c r="AI95" s="102"/>
      <c r="AJ95" s="397"/>
      <c r="AK95" s="397"/>
      <c r="AL95" s="178"/>
      <c r="AM95" s="397"/>
      <c r="AN95" s="397"/>
      <c r="AO95" s="397"/>
      <c r="AQ95" s="397"/>
      <c r="AR95" s="397"/>
      <c r="AS95" s="397"/>
      <c r="AT95" s="397"/>
      <c r="AU95" s="397"/>
      <c r="AV95" s="397"/>
      <c r="AW95" s="397"/>
      <c r="AX95" s="397"/>
      <c r="AY95" s="397"/>
      <c r="AZ95" s="397"/>
      <c r="BA95" s="397"/>
      <c r="BB95" s="397"/>
      <c r="BC95" s="397"/>
      <c r="BD95" s="397"/>
      <c r="BE95" s="397"/>
      <c r="BF95" s="397"/>
      <c r="BG95" s="397"/>
      <c r="BH95" s="397"/>
      <c r="BI95" s="397"/>
      <c r="BJ95" s="397"/>
      <c r="BK95" s="397"/>
      <c r="BL95" s="397"/>
      <c r="BM95" s="397"/>
      <c r="BN95" s="397"/>
      <c r="BO95" s="397"/>
      <c r="BP95" s="397"/>
    </row>
    <row r="96" spans="1:68" s="211" customFormat="1" x14ac:dyDescent="0.2">
      <c r="A96" s="392">
        <f t="shared" si="6"/>
        <v>93</v>
      </c>
      <c r="B96" s="390" t="s">
        <v>249</v>
      </c>
      <c r="C96" s="89"/>
      <c r="D96" s="89"/>
      <c r="E96" s="516"/>
      <c r="F96" s="516"/>
      <c r="G96" s="516"/>
      <c r="H96" s="512"/>
      <c r="I96" s="512"/>
      <c r="J96" s="512"/>
      <c r="K96" s="512"/>
      <c r="L96" s="512"/>
      <c r="M96" s="512"/>
      <c r="N96" s="512"/>
      <c r="O96" s="512"/>
      <c r="P96" s="512"/>
      <c r="Q96" s="512"/>
      <c r="R96" s="512"/>
      <c r="S96" s="512"/>
      <c r="T96" s="512"/>
      <c r="U96" s="512"/>
      <c r="V96" s="512"/>
      <c r="W96" s="512"/>
      <c r="X96" s="512">
        <v>1192.7752</v>
      </c>
      <c r="Y96" s="512"/>
      <c r="Z96" s="512"/>
      <c r="AA96" s="513"/>
      <c r="AB96" s="513"/>
      <c r="AC96" s="513"/>
      <c r="AD96" s="513"/>
      <c r="AE96" s="513"/>
      <c r="AF96" s="513"/>
      <c r="AG96" s="550">
        <f t="shared" si="5"/>
        <v>1192.7752</v>
      </c>
      <c r="AH96" s="102"/>
      <c r="AI96" s="102"/>
      <c r="AJ96" s="397"/>
      <c r="AK96" s="397"/>
      <c r="AL96" s="178"/>
      <c r="AM96" s="397"/>
      <c r="AN96" s="397"/>
      <c r="AO96" s="397"/>
      <c r="AQ96" s="397"/>
      <c r="AR96" s="397"/>
      <c r="AS96" s="397"/>
      <c r="AT96" s="397"/>
      <c r="AU96" s="397"/>
      <c r="AV96" s="397"/>
      <c r="AW96" s="397"/>
      <c r="AX96" s="397"/>
      <c r="AY96" s="397"/>
      <c r="AZ96" s="397"/>
      <c r="BA96" s="397"/>
      <c r="BB96" s="397"/>
      <c r="BC96" s="397"/>
      <c r="BD96" s="397"/>
      <c r="BE96" s="397"/>
      <c r="BF96" s="397"/>
      <c r="BG96" s="397"/>
      <c r="BH96" s="397"/>
      <c r="BI96" s="397"/>
      <c r="BJ96" s="397"/>
      <c r="BK96" s="397"/>
      <c r="BL96" s="397"/>
      <c r="BM96" s="397"/>
      <c r="BN96" s="397"/>
      <c r="BO96" s="397"/>
      <c r="BP96" s="397"/>
    </row>
    <row r="97" spans="1:68" s="211" customFormat="1" x14ac:dyDescent="0.2">
      <c r="A97" s="392">
        <f t="shared" si="6"/>
        <v>94</v>
      </c>
      <c r="B97" s="390" t="s">
        <v>287</v>
      </c>
      <c r="C97" s="89"/>
      <c r="D97" s="89"/>
      <c r="E97" s="516"/>
      <c r="F97" s="516"/>
      <c r="G97" s="516"/>
      <c r="H97" s="512"/>
      <c r="I97" s="512"/>
      <c r="J97" s="512"/>
      <c r="K97" s="512"/>
      <c r="L97" s="512"/>
      <c r="M97" s="512"/>
      <c r="N97" s="512"/>
      <c r="O97" s="512"/>
      <c r="P97" s="512">
        <v>2547</v>
      </c>
      <c r="Q97" s="512">
        <v>1984</v>
      </c>
      <c r="R97" s="512">
        <v>2210</v>
      </c>
      <c r="S97" s="512">
        <v>6114</v>
      </c>
      <c r="T97" s="512">
        <v>4773</v>
      </c>
      <c r="U97" s="512">
        <v>3739</v>
      </c>
      <c r="V97" s="512">
        <v>2443</v>
      </c>
      <c r="W97" s="512">
        <v>7550</v>
      </c>
      <c r="X97" s="512">
        <v>3946</v>
      </c>
      <c r="Y97" s="512">
        <v>2860</v>
      </c>
      <c r="Z97" s="512">
        <v>1730</v>
      </c>
      <c r="AA97" s="513">
        <v>52511</v>
      </c>
      <c r="AB97" s="513"/>
      <c r="AC97" s="513"/>
      <c r="AD97" s="513">
        <v>8475.0660000000007</v>
      </c>
      <c r="AE97" s="513">
        <v>723.90000000000009</v>
      </c>
      <c r="AF97" s="513">
        <v>682.4</v>
      </c>
      <c r="AG97" s="550">
        <f t="shared" si="5"/>
        <v>102288.36599999999</v>
      </c>
      <c r="AH97" s="102"/>
      <c r="AI97" s="102"/>
      <c r="AJ97" s="397"/>
      <c r="AK97" s="397"/>
      <c r="AL97" s="178"/>
      <c r="AM97" s="397"/>
      <c r="AN97" s="397"/>
      <c r="AO97" s="397"/>
      <c r="AQ97" s="397"/>
      <c r="AR97" s="397"/>
      <c r="AS97" s="397"/>
      <c r="AT97" s="397"/>
      <c r="AU97" s="397"/>
      <c r="AV97" s="397"/>
      <c r="AW97" s="397"/>
      <c r="AX97" s="397"/>
      <c r="AY97" s="397"/>
      <c r="AZ97" s="397"/>
      <c r="BA97" s="397"/>
      <c r="BB97" s="397"/>
      <c r="BC97" s="397"/>
      <c r="BD97" s="397"/>
      <c r="BE97" s="397"/>
      <c r="BF97" s="397"/>
      <c r="BG97" s="397"/>
      <c r="BH97" s="397"/>
      <c r="BI97" s="397"/>
      <c r="BJ97" s="397"/>
      <c r="BK97" s="397"/>
      <c r="BL97" s="397"/>
      <c r="BM97" s="397"/>
      <c r="BN97" s="397"/>
      <c r="BO97" s="397"/>
      <c r="BP97" s="397"/>
    </row>
    <row r="98" spans="1:68" s="211" customFormat="1" x14ac:dyDescent="0.2">
      <c r="A98" s="392">
        <f t="shared" si="6"/>
        <v>95</v>
      </c>
      <c r="B98" s="390" t="s">
        <v>132</v>
      </c>
      <c r="C98" s="89"/>
      <c r="D98" s="89"/>
      <c r="E98" s="516"/>
      <c r="F98" s="516"/>
      <c r="G98" s="516"/>
      <c r="H98" s="512"/>
      <c r="I98" s="512"/>
      <c r="J98" s="512"/>
      <c r="K98" s="512"/>
      <c r="L98" s="512"/>
      <c r="M98" s="512"/>
      <c r="N98" s="512"/>
      <c r="O98" s="512">
        <v>302</v>
      </c>
      <c r="P98" s="512">
        <v>153.6</v>
      </c>
      <c r="Q98" s="512">
        <v>195.2</v>
      </c>
      <c r="R98" s="512">
        <v>290</v>
      </c>
      <c r="S98" s="512">
        <v>80.599999999999994</v>
      </c>
      <c r="T98" s="512">
        <v>101</v>
      </c>
      <c r="U98" s="512">
        <v>40</v>
      </c>
      <c r="V98" s="512"/>
      <c r="W98" s="512"/>
      <c r="X98" s="512"/>
      <c r="Y98" s="512"/>
      <c r="Z98" s="512"/>
      <c r="AA98" s="513"/>
      <c r="AB98" s="513"/>
      <c r="AC98" s="513"/>
      <c r="AD98" s="513"/>
      <c r="AE98" s="513"/>
      <c r="AF98" s="513"/>
      <c r="AG98" s="550">
        <f t="shared" si="5"/>
        <v>1162.4000000000001</v>
      </c>
      <c r="AH98" s="102"/>
      <c r="AI98" s="102"/>
      <c r="AJ98" s="397"/>
      <c r="AK98" s="397"/>
      <c r="AL98" s="178"/>
      <c r="AM98" s="397"/>
      <c r="AN98" s="397"/>
      <c r="AO98" s="397"/>
      <c r="AQ98" s="397"/>
      <c r="AR98" s="397"/>
      <c r="AS98" s="397"/>
      <c r="AT98" s="397"/>
      <c r="AU98" s="397"/>
      <c r="AV98" s="397"/>
      <c r="AW98" s="397"/>
      <c r="AX98" s="397"/>
      <c r="AY98" s="397"/>
      <c r="AZ98" s="397"/>
      <c r="BA98" s="397"/>
      <c r="BB98" s="397"/>
      <c r="BC98" s="397"/>
      <c r="BD98" s="397"/>
      <c r="BE98" s="397"/>
      <c r="BF98" s="397"/>
      <c r="BG98" s="397"/>
      <c r="BH98" s="397"/>
      <c r="BI98" s="397"/>
      <c r="BJ98" s="397"/>
      <c r="BK98" s="397"/>
      <c r="BL98" s="397"/>
      <c r="BM98" s="397"/>
      <c r="BN98" s="397"/>
      <c r="BO98" s="397"/>
      <c r="BP98" s="397"/>
    </row>
    <row r="99" spans="1:68" s="211" customFormat="1" x14ac:dyDescent="0.2">
      <c r="A99" s="392">
        <f t="shared" si="6"/>
        <v>96</v>
      </c>
      <c r="B99" s="390" t="s">
        <v>133</v>
      </c>
      <c r="C99" s="89"/>
      <c r="D99" s="89"/>
      <c r="E99" s="516"/>
      <c r="F99" s="516"/>
      <c r="G99" s="516"/>
      <c r="H99" s="512"/>
      <c r="I99" s="512"/>
      <c r="J99" s="512"/>
      <c r="K99" s="512"/>
      <c r="L99" s="512"/>
      <c r="M99" s="512"/>
      <c r="N99" s="512"/>
      <c r="O99" s="512"/>
      <c r="P99" s="512"/>
      <c r="Q99" s="512"/>
      <c r="R99" s="512"/>
      <c r="S99" s="512"/>
      <c r="T99" s="512"/>
      <c r="U99" s="512"/>
      <c r="V99" s="512"/>
      <c r="W99" s="512"/>
      <c r="X99" s="512">
        <v>7776.99</v>
      </c>
      <c r="Y99" s="512">
        <v>58466</v>
      </c>
      <c r="Z99" s="512">
        <v>57787</v>
      </c>
      <c r="AA99" s="513">
        <v>2845.1</v>
      </c>
      <c r="AB99" s="513">
        <v>115163</v>
      </c>
      <c r="AC99" s="513">
        <v>18529.791798054568</v>
      </c>
      <c r="AD99" s="513">
        <v>176792</v>
      </c>
      <c r="AE99" s="513">
        <v>3608.0000000000032</v>
      </c>
      <c r="AF99" s="513"/>
      <c r="AG99" s="550">
        <f t="shared" si="5"/>
        <v>440967.88179805456</v>
      </c>
      <c r="AH99" s="102"/>
      <c r="AI99" s="102"/>
      <c r="AJ99" s="397"/>
      <c r="AK99" s="397"/>
      <c r="AL99" s="178"/>
      <c r="AM99" s="397"/>
      <c r="AN99" s="397"/>
      <c r="AO99" s="397"/>
      <c r="AQ99" s="397"/>
      <c r="AR99" s="397"/>
      <c r="AS99" s="397"/>
      <c r="AT99" s="397"/>
      <c r="AU99" s="397"/>
      <c r="AV99" s="397"/>
      <c r="AW99" s="397"/>
      <c r="AX99" s="397"/>
      <c r="AY99" s="397"/>
      <c r="AZ99" s="397"/>
      <c r="BA99" s="397"/>
      <c r="BB99" s="397"/>
      <c r="BC99" s="397"/>
      <c r="BD99" s="397"/>
      <c r="BE99" s="397"/>
      <c r="BF99" s="397"/>
      <c r="BG99" s="397"/>
      <c r="BH99" s="397"/>
      <c r="BI99" s="397"/>
      <c r="BJ99" s="397"/>
      <c r="BK99" s="397"/>
      <c r="BL99" s="397"/>
      <c r="BM99" s="397"/>
      <c r="BN99" s="397"/>
      <c r="BO99" s="397"/>
      <c r="BP99" s="397"/>
    </row>
    <row r="100" spans="1:68" s="211" customFormat="1" x14ac:dyDescent="0.2">
      <c r="A100" s="392">
        <f t="shared" si="6"/>
        <v>97</v>
      </c>
      <c r="B100" s="390" t="s">
        <v>134</v>
      </c>
      <c r="C100" s="396"/>
      <c r="D100" s="396"/>
      <c r="E100" s="512"/>
      <c r="F100" s="512"/>
      <c r="G100" s="512"/>
      <c r="H100" s="512"/>
      <c r="I100" s="512"/>
      <c r="J100" s="512"/>
      <c r="K100" s="512"/>
      <c r="L100" s="512"/>
      <c r="M100" s="512"/>
      <c r="N100" s="512"/>
      <c r="O100" s="512">
        <v>305</v>
      </c>
      <c r="P100" s="512"/>
      <c r="Q100" s="512">
        <v>3062</v>
      </c>
      <c r="R100" s="512">
        <v>850</v>
      </c>
      <c r="S100" s="512">
        <v>2698</v>
      </c>
      <c r="T100" s="512">
        <v>3688</v>
      </c>
      <c r="U100" s="512">
        <v>1656</v>
      </c>
      <c r="V100" s="512">
        <v>6809</v>
      </c>
      <c r="W100" s="512">
        <v>2259</v>
      </c>
      <c r="X100" s="512">
        <v>6236</v>
      </c>
      <c r="Y100" s="512">
        <v>3570</v>
      </c>
      <c r="Z100" s="512">
        <v>10266</v>
      </c>
      <c r="AA100" s="513">
        <v>2796.34</v>
      </c>
      <c r="AB100" s="513">
        <v>333.62</v>
      </c>
      <c r="AC100" s="513">
        <v>1282.4901800000002</v>
      </c>
      <c r="AD100" s="513">
        <v>15.524999999999999</v>
      </c>
      <c r="AE100" s="513">
        <v>196.13300000000001</v>
      </c>
      <c r="AF100" s="513">
        <v>42.837810000000005</v>
      </c>
      <c r="AG100" s="550">
        <f t="shared" si="5"/>
        <v>46065.94599</v>
      </c>
      <c r="AH100" s="102"/>
      <c r="AI100" s="102"/>
      <c r="AJ100" s="397"/>
      <c r="AK100" s="397"/>
      <c r="AL100" s="178"/>
      <c r="AM100" s="397"/>
      <c r="AN100" s="397"/>
      <c r="AO100" s="397"/>
      <c r="AQ100" s="397"/>
      <c r="AR100" s="397"/>
      <c r="AS100" s="397"/>
      <c r="AT100" s="397"/>
      <c r="AU100" s="397"/>
      <c r="AV100" s="397"/>
      <c r="AW100" s="397"/>
      <c r="AX100" s="397"/>
      <c r="AY100" s="397"/>
      <c r="AZ100" s="397"/>
      <c r="BA100" s="397"/>
      <c r="BB100" s="397"/>
      <c r="BC100" s="397"/>
      <c r="BD100" s="397"/>
      <c r="BE100" s="397"/>
      <c r="BF100" s="397"/>
      <c r="BG100" s="397"/>
      <c r="BH100" s="397"/>
      <c r="BI100" s="397"/>
      <c r="BJ100" s="397"/>
      <c r="BK100" s="397"/>
      <c r="BL100" s="397"/>
      <c r="BM100" s="397"/>
      <c r="BN100" s="397"/>
      <c r="BO100" s="397"/>
      <c r="BP100" s="397"/>
    </row>
    <row r="101" spans="1:68" s="211" customFormat="1" ht="13.5" thickBot="1" x14ac:dyDescent="0.25">
      <c r="A101" s="392">
        <f t="shared" si="6"/>
        <v>98</v>
      </c>
      <c r="B101" s="390" t="s">
        <v>187</v>
      </c>
      <c r="C101" s="396"/>
      <c r="D101" s="396"/>
      <c r="E101" s="512"/>
      <c r="F101" s="512"/>
      <c r="G101" s="512"/>
      <c r="H101" s="512"/>
      <c r="I101" s="512"/>
      <c r="J101" s="512"/>
      <c r="K101" s="512"/>
      <c r="L101" s="512"/>
      <c r="M101" s="512"/>
      <c r="N101" s="512"/>
      <c r="O101" s="512"/>
      <c r="P101" s="512"/>
      <c r="Q101" s="512"/>
      <c r="R101" s="512"/>
      <c r="S101" s="512"/>
      <c r="T101" s="512"/>
      <c r="U101" s="512"/>
      <c r="V101" s="512"/>
      <c r="W101" s="512"/>
      <c r="X101" s="512"/>
      <c r="Y101" s="512">
        <v>165391</v>
      </c>
      <c r="Z101" s="512"/>
      <c r="AA101" s="513"/>
      <c r="AB101" s="513"/>
      <c r="AC101" s="513"/>
      <c r="AD101" s="544"/>
      <c r="AE101" s="544"/>
      <c r="AF101" s="544"/>
      <c r="AG101" s="520">
        <f>SUM(C101:AF101)</f>
        <v>165391</v>
      </c>
      <c r="AH101" s="102"/>
      <c r="AI101" s="102"/>
      <c r="AJ101" s="397"/>
      <c r="AK101" s="397"/>
      <c r="AL101" s="178"/>
      <c r="AM101" s="397"/>
      <c r="AN101" s="397"/>
      <c r="AO101" s="397"/>
      <c r="AQ101" s="397"/>
      <c r="AR101" s="397"/>
      <c r="AS101" s="397"/>
      <c r="AT101" s="397"/>
      <c r="AU101" s="397"/>
      <c r="AV101" s="397"/>
      <c r="AW101" s="397"/>
      <c r="AX101" s="397"/>
      <c r="AY101" s="397"/>
      <c r="AZ101" s="397"/>
      <c r="BA101" s="397"/>
      <c r="BB101" s="397"/>
      <c r="BC101" s="397"/>
      <c r="BD101" s="397"/>
      <c r="BE101" s="397"/>
      <c r="BF101" s="397"/>
      <c r="BG101" s="397"/>
      <c r="BH101" s="397"/>
      <c r="BI101" s="397"/>
      <c r="BJ101" s="397"/>
      <c r="BK101" s="397"/>
      <c r="BL101" s="397"/>
      <c r="BM101" s="397"/>
      <c r="BN101" s="397"/>
      <c r="BO101" s="397"/>
      <c r="BP101" s="397"/>
    </row>
    <row r="102" spans="1:68" ht="15" thickBot="1" x14ac:dyDescent="0.25">
      <c r="A102" s="1380" t="s">
        <v>0</v>
      </c>
      <c r="B102" s="1381"/>
      <c r="C102" s="94"/>
      <c r="D102" s="95"/>
      <c r="E102" s="521"/>
      <c r="F102" s="521"/>
      <c r="G102" s="522">
        <v>31478.89</v>
      </c>
      <c r="H102" s="522">
        <v>7648.63</v>
      </c>
      <c r="I102" s="522">
        <v>97751.459999999992</v>
      </c>
      <c r="J102" s="522">
        <v>240206.95500000002</v>
      </c>
      <c r="K102" s="522">
        <v>250809.128</v>
      </c>
      <c r="L102" s="521">
        <v>280830.41899999999</v>
      </c>
      <c r="M102" s="521">
        <v>212402</v>
      </c>
      <c r="N102" s="521">
        <v>33486.1</v>
      </c>
      <c r="O102" s="521">
        <v>30042</v>
      </c>
      <c r="P102" s="522">
        <v>20059.599999999999</v>
      </c>
      <c r="Q102" s="522">
        <v>92565.2</v>
      </c>
      <c r="R102" s="522">
        <v>139724.64000000001</v>
      </c>
      <c r="S102" s="522">
        <v>260376.6</v>
      </c>
      <c r="T102" s="521">
        <v>244531</v>
      </c>
      <c r="U102" s="522">
        <v>457017</v>
      </c>
      <c r="V102" s="522">
        <v>359534</v>
      </c>
      <c r="W102" s="522">
        <v>533520</v>
      </c>
      <c r="X102" s="522">
        <v>1212192.3652000001</v>
      </c>
      <c r="Y102" s="521">
        <v>1746138.6604500001</v>
      </c>
      <c r="Z102" s="521">
        <v>1764618.7</v>
      </c>
      <c r="AA102" s="521">
        <v>1767170.2798337028</v>
      </c>
      <c r="AB102" s="521">
        <v>1730862.9045119609</v>
      </c>
      <c r="AC102" s="521">
        <v>938857.61860395304</v>
      </c>
      <c r="AD102" s="521">
        <f>SUM(AD4:AD101)</f>
        <v>835507.14964695147</v>
      </c>
      <c r="AE102" s="1241">
        <f>SUM(AE4:AE101)</f>
        <v>252782.70118165942</v>
      </c>
      <c r="AF102" s="1241">
        <f>SUM(AF4:AF101)</f>
        <v>177582.05255853527</v>
      </c>
      <c r="AG102" s="1242">
        <f>SUM(AG4:AG101)</f>
        <v>13717696.053986769</v>
      </c>
      <c r="AH102" s="98"/>
      <c r="AI102" s="99"/>
      <c r="AJ102" s="99"/>
      <c r="AK102" s="99"/>
      <c r="AL102" s="100"/>
      <c r="AM102" s="99"/>
      <c r="AN102" s="99"/>
      <c r="AO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</row>
    <row r="103" spans="1:68" ht="14.25" x14ac:dyDescent="0.2">
      <c r="A103" s="101"/>
      <c r="B103" s="101"/>
      <c r="C103" s="102"/>
      <c r="D103" s="102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3"/>
      <c r="W103" s="523"/>
      <c r="X103" s="523"/>
      <c r="Y103" s="523"/>
      <c r="Z103" s="523"/>
      <c r="AA103" s="523"/>
      <c r="AB103" s="523"/>
      <c r="AC103" s="523"/>
      <c r="AD103" s="523"/>
      <c r="AE103" s="523"/>
      <c r="AF103" s="523"/>
      <c r="AG103" s="524"/>
      <c r="AH103" s="98"/>
      <c r="AI103" s="99"/>
      <c r="AJ103" s="99"/>
      <c r="AK103" s="99"/>
      <c r="AL103" s="100"/>
      <c r="AM103" s="99"/>
      <c r="AN103" s="99"/>
      <c r="AO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</row>
    <row r="104" spans="1:68" s="100" customFormat="1" ht="15" thickBot="1" x14ac:dyDescent="0.25">
      <c r="A104" s="408"/>
      <c r="B104" s="101"/>
      <c r="C104" s="102"/>
      <c r="D104" s="102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4"/>
      <c r="AH104" s="98"/>
      <c r="AI104" s="99"/>
      <c r="AJ104" s="99"/>
      <c r="AK104" s="99"/>
      <c r="AM104" s="99"/>
      <c r="AN104" s="99"/>
      <c r="AO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</row>
    <row r="105" spans="1:68" ht="16.5" thickBot="1" x14ac:dyDescent="0.3">
      <c r="A105" s="1213" t="s">
        <v>117</v>
      </c>
      <c r="B105" s="1219" t="s">
        <v>135</v>
      </c>
      <c r="C105" s="1215">
        <v>1990</v>
      </c>
      <c r="D105" s="1216">
        <v>1991</v>
      </c>
      <c r="E105" s="1216">
        <v>1992</v>
      </c>
      <c r="F105" s="1216">
        <v>1993</v>
      </c>
      <c r="G105" s="1216">
        <v>1994</v>
      </c>
      <c r="H105" s="1216">
        <v>1995</v>
      </c>
      <c r="I105" s="1216">
        <v>1996</v>
      </c>
      <c r="J105" s="1216">
        <v>1997</v>
      </c>
      <c r="K105" s="1216">
        <v>1998</v>
      </c>
      <c r="L105" s="1216">
        <v>1999</v>
      </c>
      <c r="M105" s="1215">
        <v>2000</v>
      </c>
      <c r="N105" s="1215">
        <v>2001</v>
      </c>
      <c r="O105" s="1215">
        <v>2002</v>
      </c>
      <c r="P105" s="1215">
        <v>2003</v>
      </c>
      <c r="Q105" s="1215">
        <v>2004</v>
      </c>
      <c r="R105" s="1215">
        <v>2005</v>
      </c>
      <c r="S105" s="1215">
        <v>2006</v>
      </c>
      <c r="T105" s="1215">
        <v>2007</v>
      </c>
      <c r="U105" s="1215">
        <v>2008</v>
      </c>
      <c r="V105" s="1217">
        <v>2009</v>
      </c>
      <c r="W105" s="1216">
        <v>2010</v>
      </c>
      <c r="X105" s="1216">
        <v>2011</v>
      </c>
      <c r="Y105" s="1216">
        <v>2012</v>
      </c>
      <c r="Z105" s="1216">
        <v>2013</v>
      </c>
      <c r="AA105" s="1216">
        <v>2014</v>
      </c>
      <c r="AB105" s="1217">
        <v>2015</v>
      </c>
      <c r="AC105" s="1220">
        <v>2016</v>
      </c>
      <c r="AD105" s="1216">
        <v>2017</v>
      </c>
      <c r="AE105" s="1216">
        <v>2018</v>
      </c>
      <c r="AF105" s="1216">
        <v>2019</v>
      </c>
      <c r="AG105" s="1218" t="s">
        <v>0</v>
      </c>
      <c r="AH105" s="99"/>
      <c r="AI105" s="99"/>
      <c r="AJ105" s="99"/>
      <c r="AK105" s="99"/>
      <c r="AL105" s="100"/>
      <c r="AM105" s="99"/>
      <c r="AN105" s="99"/>
      <c r="AO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</row>
    <row r="106" spans="1:68" s="72" customFormat="1" x14ac:dyDescent="0.2">
      <c r="A106" s="76">
        <v>1</v>
      </c>
      <c r="B106" s="340" t="s">
        <v>206</v>
      </c>
      <c r="C106" s="105"/>
      <c r="D106" s="105"/>
      <c r="E106" s="106"/>
      <c r="F106" s="106"/>
      <c r="G106" s="106"/>
      <c r="H106" s="106"/>
      <c r="I106" s="106"/>
      <c r="J106" s="106"/>
      <c r="K106" s="106"/>
      <c r="L106" s="106"/>
      <c r="M106" s="106"/>
      <c r="N106" s="79">
        <v>10000</v>
      </c>
      <c r="O106" s="79"/>
      <c r="P106" s="79"/>
      <c r="Q106" s="79"/>
      <c r="R106" s="79"/>
      <c r="S106" s="79"/>
      <c r="T106" s="79"/>
      <c r="U106" s="79"/>
      <c r="V106" s="79">
        <v>175572</v>
      </c>
      <c r="W106" s="79">
        <v>107319</v>
      </c>
      <c r="X106" s="80">
        <v>31802</v>
      </c>
      <c r="Y106" s="80">
        <v>290270</v>
      </c>
      <c r="Z106" s="80">
        <v>72287.399999999994</v>
      </c>
      <c r="AA106" s="80"/>
      <c r="AB106" s="80"/>
      <c r="AC106" s="394"/>
      <c r="AD106" s="394"/>
      <c r="AE106" s="394"/>
      <c r="AF106" s="394"/>
      <c r="AG106" s="410">
        <f>SUM(C106:AF106)</f>
        <v>687250.4</v>
      </c>
      <c r="AH106" s="90"/>
      <c r="AI106" s="90"/>
      <c r="AJ106" s="90"/>
      <c r="AK106" s="90"/>
      <c r="AL106" s="91"/>
      <c r="AM106" s="90"/>
      <c r="AN106" s="90"/>
      <c r="AO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</row>
    <row r="107" spans="1:68" s="72" customFormat="1" x14ac:dyDescent="0.2">
      <c r="A107" s="341">
        <f t="shared" ref="A107:A124" si="7">A106+1</f>
        <v>2</v>
      </c>
      <c r="B107" s="342" t="s">
        <v>267</v>
      </c>
      <c r="C107" s="343"/>
      <c r="D107" s="343"/>
      <c r="E107" s="344"/>
      <c r="F107" s="344"/>
      <c r="G107" s="344"/>
      <c r="H107" s="344"/>
      <c r="I107" s="344"/>
      <c r="J107" s="344"/>
      <c r="K107" s="344"/>
      <c r="L107" s="344"/>
      <c r="M107" s="344"/>
      <c r="N107" s="345"/>
      <c r="O107" s="345"/>
      <c r="P107" s="345"/>
      <c r="Q107" s="345"/>
      <c r="R107" s="345"/>
      <c r="S107" s="345"/>
      <c r="T107" s="345"/>
      <c r="U107" s="345"/>
      <c r="V107" s="345"/>
      <c r="W107" s="345"/>
      <c r="X107" s="346"/>
      <c r="Y107" s="346"/>
      <c r="Z107" s="346"/>
      <c r="AA107" s="346"/>
      <c r="AB107" s="346"/>
      <c r="AC107" s="394">
        <v>0</v>
      </c>
      <c r="AD107" s="394"/>
      <c r="AE107" s="394">
        <v>1715.6669999999997</v>
      </c>
      <c r="AF107" s="394"/>
      <c r="AG107" s="410">
        <f>SUM(C107:AF107)</f>
        <v>1715.6669999999997</v>
      </c>
      <c r="AH107" s="90"/>
      <c r="AI107" s="90"/>
      <c r="AJ107" s="90"/>
      <c r="AK107" s="90"/>
      <c r="AL107" s="91"/>
      <c r="AM107" s="90"/>
      <c r="AN107" s="90"/>
      <c r="AO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</row>
    <row r="108" spans="1:68" s="72" customFormat="1" x14ac:dyDescent="0.2">
      <c r="A108" s="341">
        <f t="shared" si="7"/>
        <v>3</v>
      </c>
      <c r="B108" s="342" t="s">
        <v>351</v>
      </c>
      <c r="C108" s="343"/>
      <c r="D108" s="343"/>
      <c r="E108" s="344"/>
      <c r="F108" s="344"/>
      <c r="G108" s="344"/>
      <c r="H108" s="344"/>
      <c r="I108" s="344"/>
      <c r="J108" s="344"/>
      <c r="K108" s="344"/>
      <c r="L108" s="344"/>
      <c r="M108" s="344"/>
      <c r="N108" s="345"/>
      <c r="O108" s="345"/>
      <c r="P108" s="345"/>
      <c r="Q108" s="345"/>
      <c r="R108" s="345"/>
      <c r="S108" s="345"/>
      <c r="T108" s="345"/>
      <c r="U108" s="345"/>
      <c r="V108" s="345"/>
      <c r="W108" s="345"/>
      <c r="X108" s="346"/>
      <c r="Y108" s="346"/>
      <c r="Z108" s="346"/>
      <c r="AA108" s="346"/>
      <c r="AB108" s="346"/>
      <c r="AC108" s="394">
        <v>0</v>
      </c>
      <c r="AD108" s="394"/>
      <c r="AE108" s="394">
        <v>1715.6669999999997</v>
      </c>
      <c r="AF108" s="394"/>
      <c r="AG108" s="410">
        <f t="shared" ref="AG108:AG127" si="8">SUM(C108:AF108)</f>
        <v>1715.6669999999997</v>
      </c>
      <c r="AH108" s="90"/>
      <c r="AI108" s="90"/>
      <c r="AJ108" s="90"/>
      <c r="AK108" s="90"/>
      <c r="AL108" s="91"/>
      <c r="AM108" s="90"/>
      <c r="AN108" s="90"/>
      <c r="AO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</row>
    <row r="109" spans="1:68" s="72" customFormat="1" x14ac:dyDescent="0.2">
      <c r="A109" s="341">
        <f t="shared" si="7"/>
        <v>4</v>
      </c>
      <c r="B109" s="342" t="s">
        <v>268</v>
      </c>
      <c r="C109" s="343"/>
      <c r="D109" s="343"/>
      <c r="E109" s="344"/>
      <c r="F109" s="344"/>
      <c r="G109" s="344"/>
      <c r="H109" s="344"/>
      <c r="I109" s="344"/>
      <c r="J109" s="344"/>
      <c r="K109" s="344"/>
      <c r="L109" s="344"/>
      <c r="M109" s="344"/>
      <c r="N109" s="345"/>
      <c r="O109" s="345"/>
      <c r="P109" s="345"/>
      <c r="Q109" s="345"/>
      <c r="R109" s="345"/>
      <c r="S109" s="345"/>
      <c r="T109" s="345"/>
      <c r="U109" s="345"/>
      <c r="V109" s="345"/>
      <c r="W109" s="345"/>
      <c r="X109" s="346"/>
      <c r="Y109" s="346"/>
      <c r="Z109" s="346"/>
      <c r="AA109" s="346"/>
      <c r="AB109" s="346"/>
      <c r="AC109" s="394">
        <v>1143</v>
      </c>
      <c r="AD109" s="394"/>
      <c r="AE109" s="394"/>
      <c r="AF109" s="394"/>
      <c r="AG109" s="410">
        <f t="shared" si="8"/>
        <v>1143</v>
      </c>
      <c r="AH109" s="90"/>
      <c r="AI109" s="90"/>
      <c r="AJ109" s="90"/>
      <c r="AK109" s="90"/>
      <c r="AL109" s="91"/>
      <c r="AM109" s="90"/>
      <c r="AN109" s="90"/>
      <c r="AO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</row>
    <row r="110" spans="1:68" s="72" customFormat="1" x14ac:dyDescent="0.2">
      <c r="A110" s="341">
        <f t="shared" si="7"/>
        <v>5</v>
      </c>
      <c r="B110" s="83" t="s">
        <v>319</v>
      </c>
      <c r="C110" s="84"/>
      <c r="D110" s="84"/>
      <c r="E110" s="85"/>
      <c r="F110" s="85"/>
      <c r="G110" s="85"/>
      <c r="H110" s="85"/>
      <c r="I110" s="85"/>
      <c r="J110" s="85"/>
      <c r="K110" s="85"/>
      <c r="L110" s="85"/>
      <c r="M110" s="85"/>
      <c r="N110" s="86"/>
      <c r="O110" s="86"/>
      <c r="P110" s="86"/>
      <c r="Q110" s="86"/>
      <c r="R110" s="86">
        <v>1394</v>
      </c>
      <c r="S110" s="86"/>
      <c r="T110" s="86"/>
      <c r="U110" s="86"/>
      <c r="V110" s="86">
        <v>3113</v>
      </c>
      <c r="W110" s="86">
        <v>0</v>
      </c>
      <c r="X110" s="87">
        <v>0</v>
      </c>
      <c r="Y110" s="87"/>
      <c r="Z110" s="87"/>
      <c r="AA110" s="87"/>
      <c r="AB110" s="87"/>
      <c r="AC110" s="394">
        <v>0</v>
      </c>
      <c r="AD110" s="394"/>
      <c r="AE110" s="394"/>
      <c r="AF110" s="394"/>
      <c r="AG110" s="410">
        <f t="shared" si="8"/>
        <v>4507</v>
      </c>
      <c r="AH110" s="90"/>
      <c r="AI110" s="90"/>
      <c r="AJ110" s="90"/>
      <c r="AK110" s="90"/>
      <c r="AL110" s="91"/>
      <c r="AM110" s="90"/>
      <c r="AN110" s="90"/>
      <c r="AO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</row>
    <row r="111" spans="1:68" s="72" customFormat="1" x14ac:dyDescent="0.2">
      <c r="A111" s="341">
        <f t="shared" si="7"/>
        <v>6</v>
      </c>
      <c r="B111" s="83" t="s">
        <v>320</v>
      </c>
      <c r="C111" s="84"/>
      <c r="D111" s="84"/>
      <c r="E111" s="85"/>
      <c r="F111" s="85"/>
      <c r="G111" s="85"/>
      <c r="H111" s="85"/>
      <c r="I111" s="85"/>
      <c r="J111" s="85"/>
      <c r="K111" s="85"/>
      <c r="L111" s="85"/>
      <c r="M111" s="85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7"/>
      <c r="Y111" s="87"/>
      <c r="Z111" s="87"/>
      <c r="AA111" s="87"/>
      <c r="AB111" s="87">
        <v>58430</v>
      </c>
      <c r="AC111" s="394">
        <v>30865.200000000001</v>
      </c>
      <c r="AD111" s="394">
        <v>4699.2000000000035</v>
      </c>
      <c r="AE111" s="394"/>
      <c r="AF111" s="394"/>
      <c r="AG111" s="410">
        <f t="shared" si="8"/>
        <v>93994.4</v>
      </c>
      <c r="AH111" s="90"/>
      <c r="AI111" s="90"/>
      <c r="AJ111" s="90"/>
      <c r="AK111" s="90"/>
      <c r="AL111" s="91"/>
      <c r="AM111" s="90"/>
      <c r="AN111" s="90"/>
      <c r="AO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</row>
    <row r="112" spans="1:68" s="72" customFormat="1" x14ac:dyDescent="0.2">
      <c r="A112" s="341">
        <f t="shared" si="7"/>
        <v>7</v>
      </c>
      <c r="B112" s="83" t="s">
        <v>321</v>
      </c>
      <c r="C112" s="84"/>
      <c r="D112" s="84"/>
      <c r="E112" s="85"/>
      <c r="F112" s="85"/>
      <c r="G112" s="85"/>
      <c r="H112" s="85"/>
      <c r="I112" s="85"/>
      <c r="J112" s="85"/>
      <c r="K112" s="85"/>
      <c r="L112" s="85"/>
      <c r="M112" s="85"/>
      <c r="N112" s="86">
        <v>13513</v>
      </c>
      <c r="O112" s="86"/>
      <c r="P112" s="86">
        <v>341</v>
      </c>
      <c r="Q112" s="86">
        <v>9017</v>
      </c>
      <c r="R112" s="86">
        <v>92</v>
      </c>
      <c r="S112" s="86">
        <v>1179</v>
      </c>
      <c r="T112" s="86">
        <v>3612</v>
      </c>
      <c r="U112" s="86">
        <v>3248</v>
      </c>
      <c r="V112" s="86">
        <v>271</v>
      </c>
      <c r="W112" s="86">
        <v>0</v>
      </c>
      <c r="X112" s="87">
        <v>0</v>
      </c>
      <c r="Y112" s="87"/>
      <c r="Z112" s="87"/>
      <c r="AA112" s="87"/>
      <c r="AB112" s="87"/>
      <c r="AC112" s="394">
        <v>0</v>
      </c>
      <c r="AD112" s="394"/>
      <c r="AE112" s="394"/>
      <c r="AF112" s="394"/>
      <c r="AG112" s="410">
        <f t="shared" si="8"/>
        <v>31273</v>
      </c>
      <c r="AH112" s="90"/>
      <c r="AI112" s="90"/>
      <c r="AJ112" s="90"/>
      <c r="AK112" s="90"/>
      <c r="AL112" s="91"/>
      <c r="AM112" s="90"/>
      <c r="AN112" s="90"/>
      <c r="AO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</row>
    <row r="113" spans="1:68" s="72" customFormat="1" x14ac:dyDescent="0.2">
      <c r="A113" s="341">
        <f t="shared" si="7"/>
        <v>8</v>
      </c>
      <c r="B113" s="83" t="s">
        <v>136</v>
      </c>
      <c r="C113" s="84"/>
      <c r="D113" s="84"/>
      <c r="E113" s="85"/>
      <c r="F113" s="85"/>
      <c r="G113" s="85"/>
      <c r="H113" s="85"/>
      <c r="I113" s="85"/>
      <c r="J113" s="85"/>
      <c r="K113" s="85"/>
      <c r="L113" s="85"/>
      <c r="M113" s="85"/>
      <c r="N113" s="86"/>
      <c r="O113" s="86"/>
      <c r="P113" s="86"/>
      <c r="Q113" s="86"/>
      <c r="R113" s="86">
        <v>5549.29</v>
      </c>
      <c r="S113" s="86">
        <v>217.14</v>
      </c>
      <c r="T113" s="86">
        <v>40</v>
      </c>
      <c r="U113" s="86">
        <v>495</v>
      </c>
      <c r="V113" s="86">
        <v>850</v>
      </c>
      <c r="W113" s="86">
        <v>0</v>
      </c>
      <c r="X113" s="87">
        <v>0</v>
      </c>
      <c r="Y113" s="87"/>
      <c r="Z113" s="87"/>
      <c r="AA113" s="87"/>
      <c r="AB113" s="87"/>
      <c r="AC113" s="394">
        <v>0</v>
      </c>
      <c r="AD113" s="394"/>
      <c r="AE113" s="394"/>
      <c r="AF113" s="394"/>
      <c r="AG113" s="410">
        <f t="shared" si="8"/>
        <v>7151.43</v>
      </c>
      <c r="AH113" s="90"/>
      <c r="AI113" s="90"/>
      <c r="AJ113" s="90"/>
      <c r="AK113" s="90"/>
      <c r="AL113" s="91"/>
      <c r="AM113" s="90"/>
      <c r="AN113" s="90"/>
      <c r="AO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</row>
    <row r="114" spans="1:68" s="72" customFormat="1" x14ac:dyDescent="0.2">
      <c r="A114" s="341">
        <f t="shared" si="7"/>
        <v>9</v>
      </c>
      <c r="B114" s="83" t="s">
        <v>269</v>
      </c>
      <c r="C114" s="84"/>
      <c r="D114" s="84"/>
      <c r="E114" s="85"/>
      <c r="F114" s="85"/>
      <c r="G114" s="85"/>
      <c r="H114" s="85"/>
      <c r="I114" s="85"/>
      <c r="J114" s="85"/>
      <c r="K114" s="85"/>
      <c r="L114" s="85"/>
      <c r="M114" s="85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7"/>
      <c r="Y114" s="87"/>
      <c r="Z114" s="87"/>
      <c r="AA114" s="87"/>
      <c r="AB114" s="87">
        <v>1456</v>
      </c>
      <c r="AC114" s="394"/>
      <c r="AD114" s="394"/>
      <c r="AE114" s="394"/>
      <c r="AF114" s="394"/>
      <c r="AG114" s="410">
        <f t="shared" si="8"/>
        <v>1456</v>
      </c>
      <c r="AH114" s="90"/>
      <c r="AI114" s="90"/>
      <c r="AJ114" s="90"/>
      <c r="AK114" s="90"/>
      <c r="AL114" s="91"/>
      <c r="AM114" s="90"/>
      <c r="AN114" s="90"/>
      <c r="AO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</row>
    <row r="115" spans="1:68" s="72" customFormat="1" x14ac:dyDescent="0.2">
      <c r="A115" s="341">
        <f t="shared" si="7"/>
        <v>10</v>
      </c>
      <c r="B115" s="83" t="s">
        <v>323</v>
      </c>
      <c r="C115" s="89"/>
      <c r="D115" s="89"/>
      <c r="E115" s="86"/>
      <c r="F115" s="86"/>
      <c r="G115" s="86"/>
      <c r="H115" s="86"/>
      <c r="I115" s="86"/>
      <c r="J115" s="83"/>
      <c r="K115" s="86">
        <v>13488</v>
      </c>
      <c r="L115" s="86">
        <v>115580</v>
      </c>
      <c r="M115" s="86">
        <v>50111</v>
      </c>
      <c r="N115" s="86">
        <v>22851</v>
      </c>
      <c r="O115" s="86">
        <v>2376</v>
      </c>
      <c r="P115" s="86">
        <v>1170</v>
      </c>
      <c r="Q115" s="86">
        <v>75</v>
      </c>
      <c r="R115" s="86">
        <v>184</v>
      </c>
      <c r="S115" s="86">
        <v>131.97</v>
      </c>
      <c r="T115" s="86">
        <v>17</v>
      </c>
      <c r="U115" s="86">
        <v>10254</v>
      </c>
      <c r="V115" s="86">
        <v>56789</v>
      </c>
      <c r="W115" s="86">
        <v>166210</v>
      </c>
      <c r="X115" s="87">
        <v>196365</v>
      </c>
      <c r="Y115" s="87">
        <v>133506</v>
      </c>
      <c r="Z115" s="87">
        <v>80297</v>
      </c>
      <c r="AA115" s="87">
        <v>194709.96</v>
      </c>
      <c r="AB115" s="87">
        <v>111669.89</v>
      </c>
      <c r="AC115" s="394">
        <v>278684.12</v>
      </c>
      <c r="AD115" s="394">
        <v>209008.61999999997</v>
      </c>
      <c r="AE115" s="394">
        <v>50758.060000000005</v>
      </c>
      <c r="AF115" s="394">
        <v>90987.65</v>
      </c>
      <c r="AG115" s="410">
        <f t="shared" si="8"/>
        <v>1785223.2699999998</v>
      </c>
      <c r="AH115" s="90"/>
      <c r="AI115" s="91"/>
      <c r="AJ115" s="91"/>
      <c r="AK115" s="91"/>
      <c r="AL115" s="91"/>
      <c r="AM115" s="91"/>
      <c r="AN115" s="91"/>
      <c r="AO115" s="91"/>
    </row>
    <row r="116" spans="1:68" s="72" customFormat="1" x14ac:dyDescent="0.2">
      <c r="A116" s="341">
        <f t="shared" si="7"/>
        <v>11</v>
      </c>
      <c r="B116" s="83" t="s">
        <v>137</v>
      </c>
      <c r="C116" s="89"/>
      <c r="D116" s="89"/>
      <c r="E116" s="86"/>
      <c r="F116" s="86"/>
      <c r="G116" s="86"/>
      <c r="H116" s="86"/>
      <c r="I116" s="86"/>
      <c r="J116" s="83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>
        <v>53</v>
      </c>
      <c r="W116" s="86">
        <v>14</v>
      </c>
      <c r="X116" s="87">
        <v>27</v>
      </c>
      <c r="Y116" s="87"/>
      <c r="Z116" s="87"/>
      <c r="AA116" s="87"/>
      <c r="AB116" s="87"/>
      <c r="AC116" s="394">
        <v>0</v>
      </c>
      <c r="AD116" s="394"/>
      <c r="AE116" s="394">
        <v>445.31</v>
      </c>
      <c r="AF116" s="394">
        <v>248</v>
      </c>
      <c r="AG116" s="410">
        <f t="shared" si="8"/>
        <v>787.31</v>
      </c>
      <c r="AH116" s="91"/>
      <c r="AI116" s="91"/>
      <c r="AJ116" s="91"/>
      <c r="AK116" s="91"/>
      <c r="AL116" s="91"/>
      <c r="AM116" s="91"/>
      <c r="AN116" s="91"/>
      <c r="AO116" s="91"/>
    </row>
    <row r="117" spans="1:68" s="72" customFormat="1" x14ac:dyDescent="0.2">
      <c r="A117" s="341">
        <f t="shared" si="7"/>
        <v>12</v>
      </c>
      <c r="B117" s="83" t="s">
        <v>138</v>
      </c>
      <c r="C117" s="89"/>
      <c r="D117" s="89"/>
      <c r="E117" s="86"/>
      <c r="F117" s="86"/>
      <c r="G117" s="86"/>
      <c r="H117" s="86"/>
      <c r="I117" s="86"/>
      <c r="J117" s="83"/>
      <c r="K117" s="86"/>
      <c r="L117" s="86"/>
      <c r="M117" s="86"/>
      <c r="N117" s="86"/>
      <c r="O117" s="86">
        <v>693</v>
      </c>
      <c r="P117" s="86">
        <v>15.7</v>
      </c>
      <c r="Q117" s="86"/>
      <c r="R117" s="86"/>
      <c r="S117" s="86"/>
      <c r="T117" s="86"/>
      <c r="U117" s="86"/>
      <c r="V117" s="86">
        <v>509</v>
      </c>
      <c r="W117" s="86">
        <v>162</v>
      </c>
      <c r="X117" s="87">
        <v>126</v>
      </c>
      <c r="Y117" s="87">
        <v>5</v>
      </c>
      <c r="Z117" s="87">
        <v>7</v>
      </c>
      <c r="AA117" s="87">
        <v>281.5</v>
      </c>
      <c r="AB117" s="87">
        <v>465.39141000000001</v>
      </c>
      <c r="AC117" s="394">
        <v>391.87776000000002</v>
      </c>
      <c r="AD117" s="394">
        <v>24.329000000000001</v>
      </c>
      <c r="AE117" s="394">
        <v>160.07644999999999</v>
      </c>
      <c r="AF117" s="394">
        <v>150.36000000000001</v>
      </c>
      <c r="AG117" s="410">
        <f t="shared" si="8"/>
        <v>2991.2346200000002</v>
      </c>
      <c r="AH117" s="91"/>
      <c r="AI117" s="91"/>
      <c r="AJ117" s="91"/>
      <c r="AK117" s="91"/>
      <c r="AL117" s="91"/>
      <c r="AM117" s="91"/>
      <c r="AN117" s="91"/>
      <c r="AO117" s="91"/>
    </row>
    <row r="118" spans="1:68" s="72" customFormat="1" x14ac:dyDescent="0.2">
      <c r="A118" s="341">
        <f t="shared" si="7"/>
        <v>13</v>
      </c>
      <c r="B118" s="83" t="s">
        <v>324</v>
      </c>
      <c r="C118" s="89"/>
      <c r="D118" s="89"/>
      <c r="E118" s="86"/>
      <c r="F118" s="86"/>
      <c r="G118" s="86"/>
      <c r="H118" s="86"/>
      <c r="I118" s="86"/>
      <c r="J118" s="83"/>
      <c r="K118" s="86"/>
      <c r="L118" s="86"/>
      <c r="M118" s="86"/>
      <c r="N118" s="86"/>
      <c r="O118" s="86">
        <v>30275</v>
      </c>
      <c r="P118" s="86">
        <v>102</v>
      </c>
      <c r="Q118" s="86">
        <v>18</v>
      </c>
      <c r="R118" s="86">
        <v>47</v>
      </c>
      <c r="S118" s="86">
        <v>247</v>
      </c>
      <c r="T118" s="86">
        <v>25.8</v>
      </c>
      <c r="U118" s="86">
        <v>33</v>
      </c>
      <c r="V118" s="86">
        <v>20</v>
      </c>
      <c r="W118" s="86">
        <v>3521</v>
      </c>
      <c r="X118" s="87">
        <v>56</v>
      </c>
      <c r="Y118" s="87">
        <v>141</v>
      </c>
      <c r="Z118" s="87">
        <v>1715</v>
      </c>
      <c r="AA118" s="87">
        <v>1580.57</v>
      </c>
      <c r="AB118" s="87">
        <v>4789.93</v>
      </c>
      <c r="AC118" s="394">
        <v>20548.960000000003</v>
      </c>
      <c r="AD118" s="394">
        <v>21544.85</v>
      </c>
      <c r="AE118" s="394">
        <v>627.84000000000015</v>
      </c>
      <c r="AF118" s="394">
        <v>502.32</v>
      </c>
      <c r="AG118" s="410">
        <f t="shared" si="8"/>
        <v>85795.270000000019</v>
      </c>
      <c r="AH118" s="91"/>
      <c r="AI118" s="91"/>
      <c r="AJ118" s="91"/>
      <c r="AK118" s="91"/>
      <c r="AL118" s="91"/>
      <c r="AM118" s="91"/>
      <c r="AN118" s="91"/>
      <c r="AO118" s="91"/>
    </row>
    <row r="119" spans="1:68" s="72" customFormat="1" x14ac:dyDescent="0.2">
      <c r="A119" s="341">
        <f t="shared" si="7"/>
        <v>14</v>
      </c>
      <c r="B119" s="83" t="s">
        <v>325</v>
      </c>
      <c r="C119" s="89"/>
      <c r="D119" s="89"/>
      <c r="E119" s="86"/>
      <c r="F119" s="86"/>
      <c r="G119" s="86"/>
      <c r="H119" s="86"/>
      <c r="I119" s="86"/>
      <c r="J119" s="83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7"/>
      <c r="Y119" s="87"/>
      <c r="Z119" s="87"/>
      <c r="AA119" s="87"/>
      <c r="AB119" s="87">
        <v>100000</v>
      </c>
      <c r="AC119" s="394">
        <v>1782.91733</v>
      </c>
      <c r="AD119" s="394"/>
      <c r="AE119" s="394"/>
      <c r="AF119" s="394"/>
      <c r="AG119" s="410">
        <f t="shared" si="8"/>
        <v>101782.91733</v>
      </c>
      <c r="AH119" s="91"/>
      <c r="AI119" s="91"/>
      <c r="AJ119" s="91"/>
      <c r="AK119" s="91"/>
      <c r="AL119" s="91"/>
      <c r="AM119" s="91"/>
      <c r="AN119" s="91"/>
      <c r="AO119" s="91"/>
    </row>
    <row r="120" spans="1:68" s="72" customFormat="1" x14ac:dyDescent="0.2">
      <c r="A120" s="341">
        <f t="shared" si="7"/>
        <v>15</v>
      </c>
      <c r="B120" s="83" t="s">
        <v>326</v>
      </c>
      <c r="C120" s="89"/>
      <c r="D120" s="89"/>
      <c r="E120" s="86"/>
      <c r="F120" s="86"/>
      <c r="G120" s="86"/>
      <c r="H120" s="86"/>
      <c r="I120" s="86"/>
      <c r="J120" s="83"/>
      <c r="K120" s="86"/>
      <c r="L120" s="86"/>
      <c r="M120" s="86"/>
      <c r="N120" s="86"/>
      <c r="O120" s="86"/>
      <c r="P120" s="86"/>
      <c r="Q120" s="86"/>
      <c r="R120" s="86">
        <v>3642.94</v>
      </c>
      <c r="S120" s="86">
        <v>1125.3399999999999</v>
      </c>
      <c r="T120" s="86">
        <v>21.1</v>
      </c>
      <c r="U120" s="86">
        <v>259</v>
      </c>
      <c r="V120" s="86">
        <v>275</v>
      </c>
      <c r="W120" s="86">
        <v>0</v>
      </c>
      <c r="X120" s="87">
        <v>0</v>
      </c>
      <c r="Y120" s="87"/>
      <c r="Z120" s="87"/>
      <c r="AA120" s="87"/>
      <c r="AB120" s="87"/>
      <c r="AC120" s="394">
        <v>0</v>
      </c>
      <c r="AD120" s="394"/>
      <c r="AE120" s="394"/>
      <c r="AF120" s="394"/>
      <c r="AG120" s="410">
        <f t="shared" si="8"/>
        <v>5323.38</v>
      </c>
      <c r="AH120" s="91"/>
      <c r="AI120" s="91"/>
      <c r="AJ120" s="91"/>
      <c r="AK120" s="91"/>
      <c r="AL120" s="91"/>
      <c r="AM120" s="91"/>
      <c r="AN120" s="91"/>
      <c r="AO120" s="91"/>
    </row>
    <row r="121" spans="1:68" s="72" customFormat="1" x14ac:dyDescent="0.2">
      <c r="A121" s="341">
        <f t="shared" si="7"/>
        <v>16</v>
      </c>
      <c r="B121" s="83" t="s">
        <v>327</v>
      </c>
      <c r="C121" s="89"/>
      <c r="D121" s="89"/>
      <c r="E121" s="86"/>
      <c r="F121" s="86"/>
      <c r="G121" s="86"/>
      <c r="H121" s="86"/>
      <c r="I121" s="86"/>
      <c r="J121" s="83"/>
      <c r="K121" s="86"/>
      <c r="L121" s="86"/>
      <c r="M121" s="86"/>
      <c r="N121" s="86"/>
      <c r="O121" s="86">
        <v>1380</v>
      </c>
      <c r="P121" s="86">
        <v>8535</v>
      </c>
      <c r="Q121" s="86">
        <v>12130</v>
      </c>
      <c r="R121" s="86">
        <v>8259</v>
      </c>
      <c r="S121" s="86">
        <v>13643</v>
      </c>
      <c r="T121" s="86">
        <v>65920</v>
      </c>
      <c r="U121" s="86">
        <v>28817</v>
      </c>
      <c r="V121" s="86">
        <v>16731</v>
      </c>
      <c r="W121" s="86">
        <v>54628</v>
      </c>
      <c r="X121" s="87">
        <v>50170</v>
      </c>
      <c r="Y121" s="87">
        <v>46299</v>
      </c>
      <c r="Z121" s="87">
        <v>33575</v>
      </c>
      <c r="AA121" s="87">
        <v>47169.200000000004</v>
      </c>
      <c r="AB121" s="87">
        <v>51018.38</v>
      </c>
      <c r="AC121" s="394">
        <v>42249</v>
      </c>
      <c r="AD121" s="394">
        <v>28466.97</v>
      </c>
      <c r="AE121" s="394">
        <v>23978.43</v>
      </c>
      <c r="AF121" s="394">
        <v>21785.650000000005</v>
      </c>
      <c r="AG121" s="410">
        <f t="shared" si="8"/>
        <v>554754.63000000012</v>
      </c>
      <c r="AH121" s="91"/>
      <c r="AI121" s="91"/>
      <c r="AJ121" s="91"/>
      <c r="AK121" s="91"/>
      <c r="AL121" s="91"/>
      <c r="AM121" s="91"/>
      <c r="AN121" s="91"/>
      <c r="AO121" s="91"/>
    </row>
    <row r="122" spans="1:68" s="72" customFormat="1" x14ac:dyDescent="0.2">
      <c r="A122" s="341">
        <f t="shared" si="7"/>
        <v>17</v>
      </c>
      <c r="B122" s="107" t="s">
        <v>328</v>
      </c>
      <c r="C122" s="108"/>
      <c r="D122" s="108"/>
      <c r="E122" s="109"/>
      <c r="F122" s="109"/>
      <c r="G122" s="109"/>
      <c r="H122" s="109"/>
      <c r="I122" s="109"/>
      <c r="J122" s="107"/>
      <c r="K122" s="107"/>
      <c r="L122" s="109">
        <v>23908.720000000001</v>
      </c>
      <c r="M122" s="109">
        <v>52138</v>
      </c>
      <c r="N122" s="109">
        <v>12263</v>
      </c>
      <c r="O122" s="109">
        <v>2556</v>
      </c>
      <c r="P122" s="109">
        <v>2661.91</v>
      </c>
      <c r="Q122" s="109">
        <v>3125.86</v>
      </c>
      <c r="R122" s="109">
        <v>1465.67</v>
      </c>
      <c r="S122" s="109"/>
      <c r="T122" s="109"/>
      <c r="U122" s="109"/>
      <c r="V122" s="109">
        <v>180</v>
      </c>
      <c r="W122" s="109">
        <v>703</v>
      </c>
      <c r="X122" s="93">
        <v>0</v>
      </c>
      <c r="Y122" s="93">
        <v>49</v>
      </c>
      <c r="Z122" s="93">
        <v>532</v>
      </c>
      <c r="AA122" s="93">
        <v>271.21187999999995</v>
      </c>
      <c r="AB122" s="93">
        <v>27140</v>
      </c>
      <c r="AC122" s="394">
        <v>121.946</v>
      </c>
      <c r="AD122" s="394">
        <v>46.6</v>
      </c>
      <c r="AE122" s="394"/>
      <c r="AF122" s="394">
        <v>4356</v>
      </c>
      <c r="AG122" s="410">
        <f t="shared" si="8"/>
        <v>131518.91788000002</v>
      </c>
      <c r="AH122" s="91"/>
      <c r="AI122" s="91"/>
      <c r="AJ122" s="91"/>
      <c r="AK122" s="91"/>
      <c r="AL122" s="91"/>
      <c r="AM122" s="91"/>
      <c r="AN122" s="91"/>
      <c r="AO122" s="91"/>
    </row>
    <row r="123" spans="1:68" s="72" customFormat="1" x14ac:dyDescent="0.2">
      <c r="A123" s="341">
        <f t="shared" si="7"/>
        <v>18</v>
      </c>
      <c r="B123" s="107" t="s">
        <v>322</v>
      </c>
      <c r="C123" s="108"/>
      <c r="D123" s="108"/>
      <c r="E123" s="109"/>
      <c r="F123" s="109"/>
      <c r="G123" s="109"/>
      <c r="H123" s="109"/>
      <c r="I123" s="109"/>
      <c r="J123" s="107"/>
      <c r="K123" s="107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93"/>
      <c r="Y123" s="93"/>
      <c r="Z123" s="93"/>
      <c r="AA123" s="93"/>
      <c r="AB123" s="93"/>
      <c r="AC123" s="394">
        <v>22319.200000000001</v>
      </c>
      <c r="AD123" s="394">
        <v>2985.7330316742077</v>
      </c>
      <c r="AE123" s="394"/>
      <c r="AF123" s="394"/>
      <c r="AG123" s="410">
        <f t="shared" si="8"/>
        <v>25304.933031674209</v>
      </c>
      <c r="AH123" s="91"/>
      <c r="AI123" s="91"/>
      <c r="AJ123" s="91"/>
      <c r="AK123" s="91"/>
      <c r="AL123" s="91"/>
      <c r="AM123" s="91"/>
      <c r="AN123" s="91"/>
      <c r="AO123" s="91"/>
    </row>
    <row r="124" spans="1:68" s="72" customFormat="1" x14ac:dyDescent="0.2">
      <c r="A124" s="341">
        <f t="shared" si="7"/>
        <v>19</v>
      </c>
      <c r="B124" s="107" t="s">
        <v>342</v>
      </c>
      <c r="C124" s="108"/>
      <c r="D124" s="108"/>
      <c r="E124" s="109"/>
      <c r="F124" s="109"/>
      <c r="G124" s="109"/>
      <c r="H124" s="109"/>
      <c r="I124" s="109"/>
      <c r="J124" s="107"/>
      <c r="K124" s="107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93"/>
      <c r="Y124" s="93"/>
      <c r="Z124" s="93"/>
      <c r="AA124" s="93"/>
      <c r="AB124" s="93"/>
      <c r="AC124" s="394"/>
      <c r="AD124" s="394">
        <v>2140.4582366589325</v>
      </c>
      <c r="AE124" s="394"/>
      <c r="AF124" s="394"/>
      <c r="AG124" s="410">
        <f t="shared" si="8"/>
        <v>2140.4582366589325</v>
      </c>
      <c r="AH124" s="91"/>
      <c r="AI124" s="91"/>
      <c r="AJ124" s="91"/>
      <c r="AK124" s="91"/>
      <c r="AL124" s="91"/>
      <c r="AM124" s="91"/>
      <c r="AN124" s="91"/>
      <c r="AO124" s="91"/>
    </row>
    <row r="125" spans="1:68" s="72" customFormat="1" x14ac:dyDescent="0.2">
      <c r="A125" s="341">
        <v>20</v>
      </c>
      <c r="B125" s="107" t="s">
        <v>329</v>
      </c>
      <c r="C125" s="108"/>
      <c r="D125" s="108"/>
      <c r="E125" s="109"/>
      <c r="F125" s="109"/>
      <c r="G125" s="109"/>
      <c r="H125" s="109"/>
      <c r="I125" s="109"/>
      <c r="J125" s="107"/>
      <c r="K125" s="107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93"/>
      <c r="Y125" s="93"/>
      <c r="Z125" s="93"/>
      <c r="AA125" s="93"/>
      <c r="AB125" s="93">
        <v>2.1</v>
      </c>
      <c r="AC125" s="394">
        <v>179.89500000000001</v>
      </c>
      <c r="AD125" s="1407">
        <v>107</v>
      </c>
      <c r="AE125" s="1407">
        <v>2153.0873150000002</v>
      </c>
      <c r="AF125" s="1407">
        <v>23308.993896</v>
      </c>
      <c r="AG125" s="410">
        <f t="shared" si="8"/>
        <v>25751.076211</v>
      </c>
      <c r="AH125" s="91"/>
      <c r="AI125" s="91"/>
      <c r="AJ125" s="91"/>
      <c r="AK125" s="91"/>
      <c r="AL125" s="91"/>
      <c r="AM125" s="91"/>
      <c r="AN125" s="91"/>
      <c r="AO125" s="91"/>
    </row>
    <row r="126" spans="1:68" s="72" customFormat="1" x14ac:dyDescent="0.2">
      <c r="A126" s="341">
        <v>21</v>
      </c>
      <c r="B126" s="107" t="s">
        <v>365</v>
      </c>
      <c r="C126" s="108"/>
      <c r="D126" s="108"/>
      <c r="E126" s="109"/>
      <c r="F126" s="109"/>
      <c r="G126" s="109"/>
      <c r="H126" s="109"/>
      <c r="I126" s="109"/>
      <c r="J126" s="107"/>
      <c r="K126" s="107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93"/>
      <c r="Y126" s="93"/>
      <c r="Z126" s="93"/>
      <c r="AA126" s="93"/>
      <c r="AB126" s="93"/>
      <c r="AC126" s="394"/>
      <c r="AD126" s="1407"/>
      <c r="AE126" s="1407"/>
      <c r="AF126" s="1407">
        <v>107.29237520808874</v>
      </c>
      <c r="AG126" s="410">
        <f t="shared" si="8"/>
        <v>107.29237520808874</v>
      </c>
      <c r="AH126" s="91"/>
      <c r="AI126" s="91"/>
      <c r="AJ126" s="91"/>
      <c r="AK126" s="91"/>
      <c r="AL126" s="91"/>
      <c r="AM126" s="91"/>
      <c r="AN126" s="91"/>
      <c r="AO126" s="91"/>
    </row>
    <row r="127" spans="1:68" s="72" customFormat="1" ht="13.5" thickBot="1" x14ac:dyDescent="0.25">
      <c r="A127" s="341">
        <v>22</v>
      </c>
      <c r="B127" s="107" t="s">
        <v>366</v>
      </c>
      <c r="C127" s="108"/>
      <c r="D127" s="108"/>
      <c r="E127" s="109"/>
      <c r="F127" s="109"/>
      <c r="G127" s="109"/>
      <c r="H127" s="109"/>
      <c r="I127" s="109"/>
      <c r="J127" s="107"/>
      <c r="K127" s="107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93"/>
      <c r="Y127" s="93"/>
      <c r="Z127" s="93"/>
      <c r="AA127" s="93"/>
      <c r="AB127" s="87"/>
      <c r="AC127" s="394"/>
      <c r="AD127" s="552"/>
      <c r="AE127" s="552"/>
      <c r="AF127" s="552">
        <v>10787.987233046631</v>
      </c>
      <c r="AG127" s="410">
        <f t="shared" si="8"/>
        <v>10787.987233046631</v>
      </c>
      <c r="AH127" s="91"/>
      <c r="AI127" s="91"/>
      <c r="AJ127" s="91"/>
      <c r="AK127" s="91"/>
      <c r="AL127" s="91"/>
      <c r="AM127" s="91"/>
      <c r="AN127" s="91"/>
      <c r="AO127" s="91"/>
    </row>
    <row r="128" spans="1:68" s="72" customFormat="1" ht="15" thickBot="1" x14ac:dyDescent="0.25">
      <c r="A128" s="1377" t="s">
        <v>0</v>
      </c>
      <c r="B128" s="1378"/>
      <c r="C128" s="110"/>
      <c r="D128" s="111"/>
      <c r="E128" s="112"/>
      <c r="F128" s="112"/>
      <c r="G128" s="112"/>
      <c r="H128" s="112"/>
      <c r="I128" s="112"/>
      <c r="J128" s="113"/>
      <c r="K128" s="112">
        <v>13488</v>
      </c>
      <c r="L128" s="112">
        <v>139488.72</v>
      </c>
      <c r="M128" s="112">
        <v>102249</v>
      </c>
      <c r="N128" s="112">
        <v>58627</v>
      </c>
      <c r="O128" s="112">
        <v>37280</v>
      </c>
      <c r="P128" s="114">
        <v>12825.61</v>
      </c>
      <c r="Q128" s="112">
        <v>24365.86</v>
      </c>
      <c r="R128" s="114">
        <v>20633.900000000001</v>
      </c>
      <c r="S128" s="114">
        <v>16543.45</v>
      </c>
      <c r="T128" s="114">
        <v>69635.899999999994</v>
      </c>
      <c r="U128" s="114">
        <v>43106</v>
      </c>
      <c r="V128" s="114">
        <v>254363</v>
      </c>
      <c r="W128" s="115">
        <v>332557</v>
      </c>
      <c r="X128" s="115">
        <v>278546</v>
      </c>
      <c r="Y128" s="115">
        <v>470270</v>
      </c>
      <c r="Z128" s="115">
        <v>188413.4</v>
      </c>
      <c r="AA128" s="115">
        <v>244012.44188</v>
      </c>
      <c r="AB128" s="347">
        <v>354971.69140999997</v>
      </c>
      <c r="AC128" s="347">
        <v>398286.11609000008</v>
      </c>
      <c r="AD128" s="347">
        <f>SUM(AD106:AD127)</f>
        <v>269023.76026833314</v>
      </c>
      <c r="AE128" s="347">
        <f>SUM(AE106:AE127)</f>
        <v>81554.137765000007</v>
      </c>
      <c r="AF128" s="347">
        <f>SUM(AF106:AF127)</f>
        <v>152234.25350425474</v>
      </c>
      <c r="AG128" s="553">
        <f>SUM(AG106:AG127)</f>
        <v>3562475.2409175867</v>
      </c>
      <c r="AH128" s="81"/>
      <c r="AI128" s="91"/>
      <c r="AJ128" s="91"/>
      <c r="AK128" s="91"/>
      <c r="AL128" s="91"/>
      <c r="AM128" s="91"/>
      <c r="AN128" s="91"/>
      <c r="AO128" s="91"/>
    </row>
    <row r="129" spans="1:67" s="91" customFormat="1" ht="15" thickBot="1" x14ac:dyDescent="0.25">
      <c r="A129" s="116"/>
      <c r="B129" s="116"/>
      <c r="C129" s="81"/>
      <c r="D129" s="81"/>
      <c r="E129" s="117"/>
      <c r="F129" s="117"/>
      <c r="G129" s="117"/>
      <c r="H129" s="117"/>
      <c r="I129" s="117"/>
      <c r="J129" s="118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9"/>
      <c r="AH129" s="81"/>
    </row>
    <row r="130" spans="1:67" s="72" customFormat="1" ht="16.5" thickBot="1" x14ac:dyDescent="0.3">
      <c r="A130" s="1221" t="s">
        <v>117</v>
      </c>
      <c r="B130" s="1219" t="s">
        <v>139</v>
      </c>
      <c r="C130" s="1215">
        <v>1990</v>
      </c>
      <c r="D130" s="1216">
        <v>1991</v>
      </c>
      <c r="E130" s="1216">
        <v>1992</v>
      </c>
      <c r="F130" s="1216">
        <v>1993</v>
      </c>
      <c r="G130" s="1216">
        <v>1994</v>
      </c>
      <c r="H130" s="1216">
        <v>1995</v>
      </c>
      <c r="I130" s="1216">
        <v>1996</v>
      </c>
      <c r="J130" s="1216">
        <v>1997</v>
      </c>
      <c r="K130" s="1216">
        <v>1998</v>
      </c>
      <c r="L130" s="1216">
        <v>1999</v>
      </c>
      <c r="M130" s="1215">
        <v>2000</v>
      </c>
      <c r="N130" s="1215">
        <v>2001</v>
      </c>
      <c r="O130" s="1215">
        <v>2002</v>
      </c>
      <c r="P130" s="1215">
        <v>2003</v>
      </c>
      <c r="Q130" s="1215">
        <v>2004</v>
      </c>
      <c r="R130" s="1215">
        <v>2005</v>
      </c>
      <c r="S130" s="1215">
        <v>2006</v>
      </c>
      <c r="T130" s="1215">
        <v>2007</v>
      </c>
      <c r="U130" s="1215">
        <v>2008</v>
      </c>
      <c r="V130" s="1217">
        <v>2009</v>
      </c>
      <c r="W130" s="1216">
        <v>2010</v>
      </c>
      <c r="X130" s="1216">
        <v>2011</v>
      </c>
      <c r="Y130" s="1216">
        <v>2012</v>
      </c>
      <c r="Z130" s="1216">
        <v>2013</v>
      </c>
      <c r="AA130" s="1216">
        <v>2014</v>
      </c>
      <c r="AB130" s="1217">
        <v>2015</v>
      </c>
      <c r="AC130" s="1216">
        <v>2016</v>
      </c>
      <c r="AD130" s="1216">
        <v>2017</v>
      </c>
      <c r="AE130" s="1216">
        <v>2018</v>
      </c>
      <c r="AF130" s="1217">
        <v>2019</v>
      </c>
      <c r="AG130" s="1218" t="s">
        <v>0</v>
      </c>
      <c r="AH130" s="91"/>
      <c r="AI130" s="91"/>
      <c r="AJ130" s="91"/>
      <c r="AK130" s="91"/>
      <c r="AL130" s="91"/>
      <c r="AM130" s="91"/>
      <c r="AN130" s="91"/>
      <c r="AO130" s="91"/>
    </row>
    <row r="131" spans="1:67" s="72" customFormat="1" ht="14.25" x14ac:dyDescent="0.2">
      <c r="A131" s="76">
        <v>1</v>
      </c>
      <c r="B131" s="77" t="s">
        <v>140</v>
      </c>
      <c r="C131" s="78"/>
      <c r="D131" s="78"/>
      <c r="E131" s="79"/>
      <c r="F131" s="79"/>
      <c r="G131" s="79"/>
      <c r="H131" s="79"/>
      <c r="I131" s="77"/>
      <c r="J131" s="77"/>
      <c r="K131" s="77"/>
      <c r="L131" s="79">
        <v>281.10000000000002</v>
      </c>
      <c r="M131" s="79">
        <v>856</v>
      </c>
      <c r="N131" s="79">
        <v>36591.300000000003</v>
      </c>
      <c r="O131" s="79">
        <v>491</v>
      </c>
      <c r="P131" s="79">
        <v>179.5</v>
      </c>
      <c r="Q131" s="79">
        <v>567.9</v>
      </c>
      <c r="R131" s="79">
        <v>632</v>
      </c>
      <c r="S131" s="79">
        <v>924</v>
      </c>
      <c r="T131" s="79">
        <v>1318.67</v>
      </c>
      <c r="U131" s="79">
        <v>1268</v>
      </c>
      <c r="V131" s="79">
        <v>2798</v>
      </c>
      <c r="W131" s="79">
        <v>3663</v>
      </c>
      <c r="X131" s="80">
        <v>1624</v>
      </c>
      <c r="Y131" s="80">
        <v>2051</v>
      </c>
      <c r="Z131" s="80">
        <v>1588.4</v>
      </c>
      <c r="AA131" s="80">
        <v>3540.58</v>
      </c>
      <c r="AB131" s="80"/>
      <c r="AC131" s="394">
        <v>812.4</v>
      </c>
      <c r="AD131" s="394"/>
      <c r="AE131" s="394"/>
      <c r="AF131" s="394"/>
      <c r="AG131" s="88">
        <f>SUM(C131:AF131)</f>
        <v>59186.850000000006</v>
      </c>
      <c r="AH131" s="91"/>
      <c r="AI131" s="91"/>
      <c r="AJ131" s="91"/>
      <c r="AK131" s="91"/>
      <c r="AL131" s="90"/>
      <c r="AM131" s="91"/>
      <c r="AN131" s="91"/>
      <c r="AO131" s="91"/>
    </row>
    <row r="132" spans="1:67" s="72" customFormat="1" ht="14.25" x14ac:dyDescent="0.2">
      <c r="A132" s="82">
        <f t="shared" ref="A132:A143" si="9">A131+1</f>
        <v>2</v>
      </c>
      <c r="B132" s="83" t="s">
        <v>141</v>
      </c>
      <c r="C132" s="89"/>
      <c r="D132" s="89"/>
      <c r="E132" s="86"/>
      <c r="F132" s="86"/>
      <c r="G132" s="86"/>
      <c r="H132" s="86"/>
      <c r="I132" s="86"/>
      <c r="J132" s="86"/>
      <c r="K132" s="86"/>
      <c r="L132" s="86"/>
      <c r="M132" s="86">
        <v>24</v>
      </c>
      <c r="N132" s="86"/>
      <c r="O132" s="86"/>
      <c r="P132" s="86"/>
      <c r="Q132" s="86"/>
      <c r="R132" s="86"/>
      <c r="S132" s="86"/>
      <c r="T132" s="86"/>
      <c r="U132" s="86"/>
      <c r="V132" s="86"/>
      <c r="W132" s="86">
        <v>35</v>
      </c>
      <c r="X132" s="87">
        <v>26.6</v>
      </c>
      <c r="Y132" s="87">
        <v>70</v>
      </c>
      <c r="Z132" s="87"/>
      <c r="AA132" s="87"/>
      <c r="AB132" s="87"/>
      <c r="AC132" s="394"/>
      <c r="AD132" s="394"/>
      <c r="AE132" s="394"/>
      <c r="AF132" s="394"/>
      <c r="AG132" s="88">
        <f>SUM(C132:AF132)</f>
        <v>155.6</v>
      </c>
      <c r="AH132" s="90"/>
      <c r="AI132" s="90"/>
      <c r="AJ132" s="90"/>
      <c r="AK132" s="91"/>
      <c r="AL132" s="90"/>
      <c r="AM132" s="91"/>
      <c r="AN132" s="91"/>
      <c r="AO132" s="91"/>
    </row>
    <row r="133" spans="1:67" s="72" customFormat="1" ht="14.25" x14ac:dyDescent="0.2">
      <c r="A133" s="82">
        <f t="shared" si="9"/>
        <v>3</v>
      </c>
      <c r="B133" s="83" t="s">
        <v>142</v>
      </c>
      <c r="C133" s="89"/>
      <c r="D133" s="89"/>
      <c r="E133" s="86"/>
      <c r="F133" s="86"/>
      <c r="G133" s="86"/>
      <c r="H133" s="86"/>
      <c r="I133" s="83"/>
      <c r="J133" s="83"/>
      <c r="K133" s="86">
        <v>1285</v>
      </c>
      <c r="L133" s="86">
        <v>1190</v>
      </c>
      <c r="M133" s="86">
        <v>20337</v>
      </c>
      <c r="N133" s="86">
        <v>2232</v>
      </c>
      <c r="O133" s="86"/>
      <c r="P133" s="86"/>
      <c r="Q133" s="86"/>
      <c r="R133" s="86"/>
      <c r="S133" s="86"/>
      <c r="T133" s="86"/>
      <c r="U133" s="86"/>
      <c r="V133" s="86"/>
      <c r="W133" s="86"/>
      <c r="X133" s="87"/>
      <c r="Y133" s="87"/>
      <c r="Z133" s="87"/>
      <c r="AA133" s="87"/>
      <c r="AB133" s="87"/>
      <c r="AC133" s="394"/>
      <c r="AD133" s="394"/>
      <c r="AE133" s="394"/>
      <c r="AF133" s="394"/>
      <c r="AG133" s="88">
        <f t="shared" ref="AG133:AG144" si="10">SUM(C133:AF133)</f>
        <v>25044</v>
      </c>
      <c r="AH133" s="90"/>
      <c r="AI133" s="90"/>
      <c r="AJ133" s="90"/>
      <c r="AK133" s="91"/>
      <c r="AL133" s="90"/>
      <c r="AM133" s="91"/>
      <c r="AN133" s="91"/>
      <c r="AO133" s="91"/>
    </row>
    <row r="134" spans="1:67" s="72" customFormat="1" ht="14.45" customHeight="1" x14ac:dyDescent="0.2">
      <c r="A134" s="82">
        <f t="shared" si="9"/>
        <v>4</v>
      </c>
      <c r="B134" s="83" t="s">
        <v>331</v>
      </c>
      <c r="C134" s="89"/>
      <c r="D134" s="89"/>
      <c r="E134" s="86"/>
      <c r="F134" s="86"/>
      <c r="G134" s="86"/>
      <c r="H134" s="86"/>
      <c r="I134" s="83"/>
      <c r="J134" s="86">
        <v>3330</v>
      </c>
      <c r="K134" s="86">
        <v>4169</v>
      </c>
      <c r="L134" s="86">
        <v>2487</v>
      </c>
      <c r="M134" s="86">
        <v>3356</v>
      </c>
      <c r="N134" s="86">
        <v>1847</v>
      </c>
      <c r="O134" s="86">
        <v>935</v>
      </c>
      <c r="P134" s="86">
        <v>586</v>
      </c>
      <c r="Q134" s="86">
        <v>236</v>
      </c>
      <c r="R134" s="86">
        <v>1495.08</v>
      </c>
      <c r="S134" s="86">
        <v>2109</v>
      </c>
      <c r="T134" s="86">
        <v>2243</v>
      </c>
      <c r="U134" s="86">
        <v>14750</v>
      </c>
      <c r="V134" s="86">
        <v>15656</v>
      </c>
      <c r="W134" s="86">
        <v>11111</v>
      </c>
      <c r="X134" s="87">
        <v>6826</v>
      </c>
      <c r="Y134" s="87">
        <v>7109</v>
      </c>
      <c r="Z134" s="87">
        <v>14212</v>
      </c>
      <c r="AA134" s="87">
        <v>7035.3</v>
      </c>
      <c r="AB134" s="87">
        <v>9004.1241761770361</v>
      </c>
      <c r="AC134" s="394">
        <v>11677.156096797433</v>
      </c>
      <c r="AD134" s="394">
        <v>8234.0189599999903</v>
      </c>
      <c r="AE134" s="394">
        <v>9559.3397999999997</v>
      </c>
      <c r="AF134" s="394">
        <v>4725.3164199731709</v>
      </c>
      <c r="AG134" s="88">
        <f t="shared" si="10"/>
        <v>142692.33545294765</v>
      </c>
      <c r="AH134" s="91"/>
      <c r="AI134" s="91"/>
      <c r="AJ134" s="91"/>
      <c r="AK134" s="91"/>
      <c r="AL134" s="91"/>
      <c r="AM134" s="91"/>
      <c r="AN134" s="91"/>
      <c r="AO134" s="91"/>
    </row>
    <row r="135" spans="1:67" s="72" customFormat="1" ht="14.25" x14ac:dyDescent="0.2">
      <c r="A135" s="82">
        <f t="shared" si="9"/>
        <v>5</v>
      </c>
      <c r="B135" s="83" t="s">
        <v>143</v>
      </c>
      <c r="C135" s="89"/>
      <c r="D135" s="89"/>
      <c r="E135" s="86"/>
      <c r="F135" s="86"/>
      <c r="G135" s="86"/>
      <c r="H135" s="86"/>
      <c r="I135" s="86"/>
      <c r="J135" s="86"/>
      <c r="K135" s="86">
        <v>11467</v>
      </c>
      <c r="L135" s="86">
        <v>11192</v>
      </c>
      <c r="M135" s="86">
        <v>4478</v>
      </c>
      <c r="N135" s="86">
        <v>1605</v>
      </c>
      <c r="O135" s="86"/>
      <c r="P135" s="86"/>
      <c r="Q135" s="86"/>
      <c r="R135" s="86"/>
      <c r="S135" s="86"/>
      <c r="T135" s="86"/>
      <c r="U135" s="86"/>
      <c r="V135" s="86"/>
      <c r="W135" s="86"/>
      <c r="X135" s="87"/>
      <c r="Y135" s="87"/>
      <c r="Z135" s="87"/>
      <c r="AA135" s="87"/>
      <c r="AB135" s="87"/>
      <c r="AC135" s="394"/>
      <c r="AD135" s="394"/>
      <c r="AE135" s="394"/>
      <c r="AF135" s="394"/>
      <c r="AG135" s="88">
        <f t="shared" si="10"/>
        <v>28742</v>
      </c>
      <c r="AH135" s="90"/>
      <c r="AI135" s="90"/>
      <c r="AJ135" s="90"/>
      <c r="AK135" s="90"/>
      <c r="AL135" s="90"/>
      <c r="AM135" s="90"/>
      <c r="AN135" s="90"/>
      <c r="AO135" s="91"/>
    </row>
    <row r="136" spans="1:67" s="72" customFormat="1" ht="14.25" x14ac:dyDescent="0.2">
      <c r="A136" s="82">
        <f t="shared" si="9"/>
        <v>6</v>
      </c>
      <c r="B136" s="83" t="s">
        <v>144</v>
      </c>
      <c r="C136" s="89"/>
      <c r="D136" s="89"/>
      <c r="E136" s="86"/>
      <c r="F136" s="86"/>
      <c r="G136" s="86"/>
      <c r="H136" s="86"/>
      <c r="I136" s="83"/>
      <c r="J136" s="83"/>
      <c r="K136" s="86">
        <v>4179</v>
      </c>
      <c r="L136" s="86">
        <v>2379</v>
      </c>
      <c r="M136" s="86">
        <v>1878</v>
      </c>
      <c r="N136" s="86">
        <v>1970.4</v>
      </c>
      <c r="O136" s="86"/>
      <c r="P136" s="86"/>
      <c r="Q136" s="86"/>
      <c r="R136" s="86"/>
      <c r="S136" s="86"/>
      <c r="T136" s="86"/>
      <c r="U136" s="86"/>
      <c r="V136" s="86"/>
      <c r="W136" s="86"/>
      <c r="X136" s="87"/>
      <c r="Y136" s="87"/>
      <c r="Z136" s="87"/>
      <c r="AA136" s="87"/>
      <c r="AB136" s="87"/>
      <c r="AC136" s="394"/>
      <c r="AD136" s="394"/>
      <c r="AE136" s="394"/>
      <c r="AF136" s="394"/>
      <c r="AG136" s="88">
        <f t="shared" si="10"/>
        <v>10406.4</v>
      </c>
      <c r="AH136" s="91"/>
      <c r="AI136" s="91"/>
      <c r="AJ136" s="91"/>
      <c r="AK136" s="91"/>
      <c r="AL136" s="91"/>
      <c r="AM136" s="91"/>
      <c r="AN136" s="91"/>
      <c r="AO136" s="91"/>
    </row>
    <row r="137" spans="1:67" s="72" customFormat="1" ht="14.25" x14ac:dyDescent="0.2">
      <c r="A137" s="82">
        <f t="shared" si="9"/>
        <v>7</v>
      </c>
      <c r="B137" s="83" t="s">
        <v>188</v>
      </c>
      <c r="C137" s="89"/>
      <c r="D137" s="89"/>
      <c r="E137" s="86"/>
      <c r="F137" s="86"/>
      <c r="G137" s="86"/>
      <c r="H137" s="86"/>
      <c r="I137" s="86"/>
      <c r="J137" s="86"/>
      <c r="K137" s="86"/>
      <c r="L137" s="86"/>
      <c r="M137" s="86">
        <v>222</v>
      </c>
      <c r="N137" s="86">
        <v>239</v>
      </c>
      <c r="O137" s="86">
        <v>509</v>
      </c>
      <c r="P137" s="86">
        <v>458</v>
      </c>
      <c r="Q137" s="86">
        <v>1588</v>
      </c>
      <c r="R137" s="86">
        <v>4575</v>
      </c>
      <c r="S137" s="86">
        <v>1826</v>
      </c>
      <c r="T137" s="86">
        <v>1004</v>
      </c>
      <c r="U137" s="86">
        <v>900</v>
      </c>
      <c r="V137" s="86">
        <v>1196</v>
      </c>
      <c r="W137" s="86">
        <v>1345</v>
      </c>
      <c r="X137" s="87">
        <v>1664</v>
      </c>
      <c r="Y137" s="87">
        <v>3282</v>
      </c>
      <c r="Z137" s="87">
        <v>1135</v>
      </c>
      <c r="AA137" s="87">
        <v>3322.3</v>
      </c>
      <c r="AB137" s="87">
        <v>1100</v>
      </c>
      <c r="AC137" s="394"/>
      <c r="AD137" s="394"/>
      <c r="AE137" s="394"/>
      <c r="AF137" s="394"/>
      <c r="AG137" s="88">
        <f t="shared" si="10"/>
        <v>24365.3</v>
      </c>
      <c r="AH137" s="91"/>
      <c r="AI137" s="91"/>
      <c r="AJ137" s="91"/>
      <c r="AK137" s="91"/>
      <c r="AL137" s="91"/>
      <c r="AM137" s="91"/>
      <c r="AN137" s="91"/>
      <c r="AO137" s="91"/>
    </row>
    <row r="138" spans="1:67" s="72" customFormat="1" ht="14.25" x14ac:dyDescent="0.2">
      <c r="A138" s="82">
        <f t="shared" si="9"/>
        <v>8</v>
      </c>
      <c r="B138" s="120" t="s">
        <v>145</v>
      </c>
      <c r="C138" s="89"/>
      <c r="D138" s="89"/>
      <c r="E138" s="86"/>
      <c r="F138" s="86"/>
      <c r="G138" s="86"/>
      <c r="H138" s="86"/>
      <c r="I138" s="86"/>
      <c r="J138" s="86"/>
      <c r="K138" s="86"/>
      <c r="L138" s="86">
        <v>17</v>
      </c>
      <c r="M138" s="86">
        <v>13</v>
      </c>
      <c r="N138" s="86">
        <v>2.4900000000000002</v>
      </c>
      <c r="O138" s="86"/>
      <c r="P138" s="86"/>
      <c r="Q138" s="86"/>
      <c r="R138" s="86"/>
      <c r="S138" s="86"/>
      <c r="T138" s="86"/>
      <c r="U138" s="86"/>
      <c r="V138" s="86"/>
      <c r="W138" s="86"/>
      <c r="X138" s="87"/>
      <c r="Y138" s="87"/>
      <c r="Z138" s="87"/>
      <c r="AA138" s="87"/>
      <c r="AB138" s="87"/>
      <c r="AC138" s="394"/>
      <c r="AD138" s="394"/>
      <c r="AE138" s="394"/>
      <c r="AF138" s="394"/>
      <c r="AG138" s="88">
        <f t="shared" si="10"/>
        <v>32.49</v>
      </c>
      <c r="AH138" s="90"/>
      <c r="AI138" s="90"/>
      <c r="AJ138" s="90"/>
      <c r="AK138" s="91"/>
      <c r="AL138" s="91"/>
      <c r="AM138" s="91"/>
      <c r="AN138" s="91"/>
      <c r="AO138" s="91"/>
    </row>
    <row r="139" spans="1:67" s="72" customFormat="1" ht="14.25" x14ac:dyDescent="0.2">
      <c r="A139" s="122">
        <f t="shared" si="9"/>
        <v>9</v>
      </c>
      <c r="B139" s="120" t="s">
        <v>146</v>
      </c>
      <c r="C139" s="89"/>
      <c r="D139" s="89"/>
      <c r="E139" s="86"/>
      <c r="F139" s="86"/>
      <c r="G139" s="86"/>
      <c r="H139" s="86"/>
      <c r="I139" s="86"/>
      <c r="J139" s="86"/>
      <c r="K139" s="86"/>
      <c r="L139" s="86"/>
      <c r="M139" s="86">
        <v>160</v>
      </c>
      <c r="N139" s="86"/>
      <c r="O139" s="86">
        <v>85</v>
      </c>
      <c r="P139" s="86"/>
      <c r="Q139" s="86"/>
      <c r="R139" s="86"/>
      <c r="S139" s="86"/>
      <c r="T139" s="86"/>
      <c r="U139" s="86"/>
      <c r="V139" s="86"/>
      <c r="W139" s="86"/>
      <c r="X139" s="87"/>
      <c r="Y139" s="87"/>
      <c r="Z139" s="87"/>
      <c r="AA139" s="87"/>
      <c r="AB139" s="87"/>
      <c r="AC139" s="394"/>
      <c r="AD139" s="394"/>
      <c r="AE139" s="394"/>
      <c r="AF139" s="394"/>
      <c r="AG139" s="88">
        <f t="shared" si="10"/>
        <v>245</v>
      </c>
      <c r="AH139" s="90"/>
      <c r="AI139" s="90"/>
      <c r="AJ139" s="90"/>
      <c r="AK139" s="90"/>
      <c r="AL139" s="90"/>
      <c r="AM139" s="90"/>
      <c r="AN139" s="90"/>
      <c r="AO139" s="90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</row>
    <row r="140" spans="1:67" s="72" customFormat="1" ht="14.25" x14ac:dyDescent="0.2">
      <c r="A140" s="122">
        <f t="shared" si="9"/>
        <v>10</v>
      </c>
      <c r="B140" s="120" t="s">
        <v>147</v>
      </c>
      <c r="C140" s="89"/>
      <c r="D140" s="89"/>
      <c r="E140" s="86"/>
      <c r="F140" s="86"/>
      <c r="G140" s="86"/>
      <c r="H140" s="86"/>
      <c r="I140" s="86">
        <v>11.71</v>
      </c>
      <c r="J140" s="86">
        <v>8.9600000000000009</v>
      </c>
      <c r="K140" s="86">
        <v>8.9600000000000009</v>
      </c>
      <c r="L140" s="86">
        <v>37.43</v>
      </c>
      <c r="M140" s="86">
        <v>133</v>
      </c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7"/>
      <c r="Y140" s="87"/>
      <c r="Z140" s="87"/>
      <c r="AA140" s="87"/>
      <c r="AB140" s="87"/>
      <c r="AC140" s="394"/>
      <c r="AD140" s="394"/>
      <c r="AE140" s="394"/>
      <c r="AF140" s="394"/>
      <c r="AG140" s="88">
        <f t="shared" si="10"/>
        <v>200.06</v>
      </c>
      <c r="AH140" s="90"/>
      <c r="AI140" s="90"/>
      <c r="AJ140" s="90"/>
      <c r="AK140" s="90"/>
      <c r="AL140" s="90"/>
      <c r="AM140" s="90"/>
      <c r="AN140" s="90"/>
      <c r="AO140" s="90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</row>
    <row r="141" spans="1:67" s="72" customFormat="1" ht="14.25" x14ac:dyDescent="0.2">
      <c r="A141" s="82">
        <f t="shared" si="9"/>
        <v>11</v>
      </c>
      <c r="B141" s="83" t="s">
        <v>330</v>
      </c>
      <c r="C141" s="89"/>
      <c r="D141" s="89"/>
      <c r="E141" s="86"/>
      <c r="F141" s="86"/>
      <c r="G141" s="86">
        <v>9021</v>
      </c>
      <c r="H141" s="86">
        <v>23889</v>
      </c>
      <c r="I141" s="86">
        <v>53642</v>
      </c>
      <c r="J141" s="86">
        <v>56848</v>
      </c>
      <c r="K141" s="86">
        <v>30900</v>
      </c>
      <c r="L141" s="86">
        <v>41037</v>
      </c>
      <c r="M141" s="86">
        <v>36000</v>
      </c>
      <c r="N141" s="86">
        <v>40011</v>
      </c>
      <c r="O141" s="86">
        <v>30160</v>
      </c>
      <c r="P141" s="86">
        <v>22213</v>
      </c>
      <c r="Q141" s="86">
        <v>18722</v>
      </c>
      <c r="R141" s="86">
        <v>27752</v>
      </c>
      <c r="S141" s="86">
        <v>38969</v>
      </c>
      <c r="T141" s="86">
        <v>43501</v>
      </c>
      <c r="U141" s="86">
        <v>69483</v>
      </c>
      <c r="V141" s="86">
        <v>61766</v>
      </c>
      <c r="W141" s="86">
        <v>48070</v>
      </c>
      <c r="X141" s="87">
        <v>80274</v>
      </c>
      <c r="Y141" s="87">
        <v>112415</v>
      </c>
      <c r="Z141" s="87">
        <v>118281</v>
      </c>
      <c r="AA141" s="87">
        <v>148862.29999999999</v>
      </c>
      <c r="AB141" s="87">
        <v>150080.29522613072</v>
      </c>
      <c r="AC141" s="394">
        <v>123319.37982195846</v>
      </c>
      <c r="AD141" s="394">
        <v>124331.25734621966</v>
      </c>
      <c r="AE141" s="394">
        <v>124879.12017052152</v>
      </c>
      <c r="AF141" s="394"/>
      <c r="AG141" s="88">
        <f t="shared" si="10"/>
        <v>1634426.3525648303</v>
      </c>
      <c r="AH141" s="90"/>
      <c r="AI141" s="90"/>
      <c r="AJ141" s="90"/>
      <c r="AK141" s="90"/>
      <c r="AL141" s="90"/>
      <c r="AM141" s="90"/>
      <c r="AN141" s="90"/>
      <c r="AO141" s="90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</row>
    <row r="142" spans="1:67" s="72" customFormat="1" ht="13.9" customHeight="1" x14ac:dyDescent="0.2">
      <c r="A142" s="122">
        <f t="shared" si="9"/>
        <v>12</v>
      </c>
      <c r="B142" s="83" t="s">
        <v>148</v>
      </c>
      <c r="C142" s="89"/>
      <c r="D142" s="89"/>
      <c r="E142" s="86"/>
      <c r="F142" s="86"/>
      <c r="G142" s="86"/>
      <c r="H142" s="86"/>
      <c r="I142" s="86"/>
      <c r="J142" s="86"/>
      <c r="K142" s="86">
        <v>1196</v>
      </c>
      <c r="L142" s="86"/>
      <c r="M142" s="86">
        <v>28761</v>
      </c>
      <c r="N142" s="86">
        <v>4799</v>
      </c>
      <c r="O142" s="86"/>
      <c r="P142" s="86"/>
      <c r="Q142" s="86"/>
      <c r="R142" s="86"/>
      <c r="S142" s="86"/>
      <c r="T142" s="86"/>
      <c r="U142" s="86"/>
      <c r="V142" s="86"/>
      <c r="W142" s="86"/>
      <c r="X142" s="87"/>
      <c r="Y142" s="87"/>
      <c r="Z142" s="87"/>
      <c r="AA142" s="87"/>
      <c r="AB142" s="87"/>
      <c r="AC142" s="394"/>
      <c r="AD142" s="394"/>
      <c r="AE142" s="394"/>
      <c r="AF142" s="394"/>
      <c r="AG142" s="88">
        <f t="shared" si="10"/>
        <v>34756</v>
      </c>
      <c r="AH142" s="90"/>
      <c r="AI142" s="90"/>
      <c r="AJ142" s="90"/>
      <c r="AK142" s="90"/>
      <c r="AL142" s="90"/>
      <c r="AM142" s="90"/>
      <c r="AN142" s="90"/>
      <c r="AO142" s="90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</row>
    <row r="143" spans="1:67" s="72" customFormat="1" ht="12.75" customHeight="1" x14ac:dyDescent="0.2">
      <c r="A143" s="122">
        <f t="shared" si="9"/>
        <v>13</v>
      </c>
      <c r="B143" s="83" t="s">
        <v>149</v>
      </c>
      <c r="C143" s="89"/>
      <c r="D143" s="89"/>
      <c r="E143" s="86"/>
      <c r="F143" s="86"/>
      <c r="G143" s="86">
        <v>19854</v>
      </c>
      <c r="H143" s="86">
        <v>34628</v>
      </c>
      <c r="I143" s="86">
        <v>44516</v>
      </c>
      <c r="J143" s="83">
        <v>39342</v>
      </c>
      <c r="K143" s="86">
        <v>41203</v>
      </c>
      <c r="L143" s="86">
        <v>28805</v>
      </c>
      <c r="M143" s="86">
        <v>26900</v>
      </c>
      <c r="N143" s="86">
        <v>29419</v>
      </c>
      <c r="O143" s="86">
        <v>32841</v>
      </c>
      <c r="P143" s="86">
        <v>24802</v>
      </c>
      <c r="Q143" s="86">
        <v>30507</v>
      </c>
      <c r="R143" s="86">
        <v>36249</v>
      </c>
      <c r="S143" s="86">
        <v>29711</v>
      </c>
      <c r="T143" s="86">
        <v>37114</v>
      </c>
      <c r="U143" s="86">
        <v>47135</v>
      </c>
      <c r="V143" s="86">
        <v>46481</v>
      </c>
      <c r="W143" s="86">
        <v>43994</v>
      </c>
      <c r="X143" s="87">
        <v>60580</v>
      </c>
      <c r="Y143" s="87">
        <v>126057</v>
      </c>
      <c r="Z143" s="87">
        <v>141946</v>
      </c>
      <c r="AA143" s="87">
        <v>122235.4</v>
      </c>
      <c r="AB143" s="87">
        <v>118124.3501455496</v>
      </c>
      <c r="AC143" s="394">
        <v>128769</v>
      </c>
      <c r="AD143" s="394">
        <v>128030.39999999999</v>
      </c>
      <c r="AE143" s="394">
        <v>111892.9</v>
      </c>
      <c r="AF143" s="394">
        <v>113504.8</v>
      </c>
      <c r="AG143" s="88">
        <f t="shared" si="10"/>
        <v>1644640.8501455495</v>
      </c>
      <c r="AH143" s="90"/>
      <c r="AI143" s="90"/>
      <c r="AJ143" s="90"/>
      <c r="AK143" s="90"/>
      <c r="AL143" s="90"/>
      <c r="AM143" s="90"/>
      <c r="AN143" s="90"/>
      <c r="AO143" s="90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</row>
    <row r="144" spans="1:67" s="72" customFormat="1" ht="12.75" customHeight="1" x14ac:dyDescent="0.2">
      <c r="A144" s="1428">
        <v>14</v>
      </c>
      <c r="B144" s="107" t="s">
        <v>150</v>
      </c>
      <c r="C144" s="108"/>
      <c r="D144" s="108"/>
      <c r="E144" s="109"/>
      <c r="F144" s="109"/>
      <c r="G144" s="109"/>
      <c r="H144" s="109"/>
      <c r="I144" s="109"/>
      <c r="J144" s="107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>
        <v>36</v>
      </c>
      <c r="W144" s="109">
        <v>4457</v>
      </c>
      <c r="X144" s="93">
        <v>18</v>
      </c>
      <c r="Y144" s="93">
        <v>37.200000000000003</v>
      </c>
      <c r="Z144" s="93">
        <v>98</v>
      </c>
      <c r="AA144" s="93">
        <v>58.400000000000006</v>
      </c>
      <c r="AB144" s="93">
        <v>94</v>
      </c>
      <c r="AC144" s="394">
        <v>95</v>
      </c>
      <c r="AD144" s="394">
        <v>146.80000000000001</v>
      </c>
      <c r="AE144" s="394">
        <v>73.805000000000007</v>
      </c>
      <c r="AF144" s="394">
        <v>302.06799999999998</v>
      </c>
      <c r="AG144" s="88">
        <f t="shared" si="10"/>
        <v>5416.2730000000001</v>
      </c>
      <c r="AH144" s="90"/>
      <c r="AI144" s="90"/>
      <c r="AJ144" s="90"/>
      <c r="AK144" s="90"/>
      <c r="AL144" s="90"/>
      <c r="AM144" s="90"/>
      <c r="AN144" s="90"/>
      <c r="AO144" s="90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</row>
    <row r="145" spans="1:67" s="883" customFormat="1" ht="26.25" thickBot="1" x14ac:dyDescent="0.25">
      <c r="A145" s="123">
        <f>A143+1</f>
        <v>14</v>
      </c>
      <c r="B145" s="124" t="s">
        <v>368</v>
      </c>
      <c r="C145" s="1429"/>
      <c r="D145" s="1429"/>
      <c r="E145" s="1430"/>
      <c r="F145" s="1430"/>
      <c r="G145" s="1430"/>
      <c r="H145" s="1430"/>
      <c r="I145" s="1430"/>
      <c r="J145" s="1430"/>
      <c r="K145" s="1430"/>
      <c r="L145" s="1430"/>
      <c r="M145" s="1430"/>
      <c r="N145" s="1430"/>
      <c r="O145" s="1430"/>
      <c r="P145" s="1430"/>
      <c r="Q145" s="1430"/>
      <c r="R145" s="1430"/>
      <c r="S145" s="1430"/>
      <c r="T145" s="1430"/>
      <c r="U145" s="1430"/>
      <c r="V145" s="1430"/>
      <c r="W145" s="1430"/>
      <c r="X145" s="1431"/>
      <c r="Y145" s="1431"/>
      <c r="Z145" s="1431"/>
      <c r="AA145" s="1431"/>
      <c r="AB145" s="1431"/>
      <c r="AC145" s="1432"/>
      <c r="AD145" s="1432"/>
      <c r="AE145" s="1432"/>
      <c r="AF145" s="1432">
        <v>30.523630952380952</v>
      </c>
      <c r="AG145" s="1433">
        <f>SUM(C145:AF145)</f>
        <v>30.523630952380952</v>
      </c>
      <c r="AH145" s="1434"/>
      <c r="AI145" s="1434"/>
      <c r="AJ145" s="1434"/>
      <c r="AK145" s="1434"/>
      <c r="AL145" s="1434"/>
      <c r="AM145" s="1434"/>
      <c r="AN145" s="1434"/>
      <c r="AO145" s="1434"/>
      <c r="AQ145" s="1435"/>
      <c r="AR145" s="1435"/>
      <c r="AS145" s="1435"/>
      <c r="AT145" s="1435"/>
      <c r="AU145" s="1435"/>
      <c r="AV145" s="1435"/>
      <c r="AW145" s="1435"/>
      <c r="AX145" s="1435"/>
      <c r="AY145" s="1435"/>
      <c r="AZ145" s="1435"/>
      <c r="BA145" s="1435"/>
      <c r="BB145" s="1435"/>
      <c r="BC145" s="1435"/>
      <c r="BD145" s="1435"/>
      <c r="BE145" s="1435"/>
      <c r="BF145" s="1435"/>
      <c r="BG145" s="1435"/>
      <c r="BH145" s="1435"/>
      <c r="BI145" s="1435"/>
      <c r="BJ145" s="1435"/>
      <c r="BK145" s="1435"/>
      <c r="BL145" s="1435"/>
      <c r="BM145" s="1435"/>
      <c r="BN145" s="1435"/>
      <c r="BO145" s="1435"/>
    </row>
    <row r="146" spans="1:67" ht="15" thickBot="1" x14ac:dyDescent="0.25">
      <c r="A146" s="1375" t="s">
        <v>12</v>
      </c>
      <c r="B146" s="1376"/>
      <c r="C146" s="125"/>
      <c r="D146" s="95"/>
      <c r="E146" s="96"/>
      <c r="F146" s="96"/>
      <c r="G146" s="96">
        <v>28875</v>
      </c>
      <c r="H146" s="96">
        <v>58517</v>
      </c>
      <c r="I146" s="96">
        <v>98169.709999999992</v>
      </c>
      <c r="J146" s="96">
        <v>99528.959999999992</v>
      </c>
      <c r="K146" s="96">
        <v>94407.959999999992</v>
      </c>
      <c r="L146" s="96">
        <v>87425.53</v>
      </c>
      <c r="M146" s="96">
        <v>123118</v>
      </c>
      <c r="N146" s="96">
        <v>118716.19</v>
      </c>
      <c r="O146" s="96">
        <v>65021</v>
      </c>
      <c r="P146" s="97">
        <v>48238.5</v>
      </c>
      <c r="Q146" s="96">
        <v>51620.9</v>
      </c>
      <c r="R146" s="97">
        <v>70703.08</v>
      </c>
      <c r="S146" s="97">
        <v>73539</v>
      </c>
      <c r="T146" s="97">
        <v>85180.67</v>
      </c>
      <c r="U146" s="97">
        <v>133536</v>
      </c>
      <c r="V146" s="97">
        <v>127933</v>
      </c>
      <c r="W146" s="97">
        <v>112675</v>
      </c>
      <c r="X146" s="97">
        <v>151012.6</v>
      </c>
      <c r="Y146" s="97">
        <v>251021.2</v>
      </c>
      <c r="Z146" s="96">
        <v>277260.40000000002</v>
      </c>
      <c r="AA146" s="96">
        <v>285054.28000000003</v>
      </c>
      <c r="AB146" s="96">
        <v>278402.76954785734</v>
      </c>
      <c r="AC146" s="96">
        <v>264672.93591875589</v>
      </c>
      <c r="AD146" s="96">
        <f>SUM(AD131:AD145)</f>
        <v>260742.47630621964</v>
      </c>
      <c r="AE146" s="96">
        <f>SUM(AE131:AE145)</f>
        <v>246405.16497052149</v>
      </c>
      <c r="AF146" s="196">
        <f>SUM(AF131:AF145)</f>
        <v>118562.70805092555</v>
      </c>
      <c r="AG146" s="1243">
        <f>SUM(AG131:AG145)</f>
        <v>3610340.0347942803</v>
      </c>
      <c r="AH146" s="98"/>
      <c r="AI146" s="98"/>
      <c r="AJ146" s="98"/>
      <c r="AK146" s="98"/>
      <c r="AL146" s="98"/>
      <c r="AM146" s="98"/>
      <c r="AN146" s="98"/>
      <c r="AO146" s="98"/>
    </row>
    <row r="147" spans="1:67" ht="15" thickBot="1" x14ac:dyDescent="0.25">
      <c r="A147" s="126"/>
      <c r="B147" s="127"/>
      <c r="C147" s="98"/>
      <c r="D147" s="9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98"/>
      <c r="AI147" s="98"/>
      <c r="AJ147" s="98"/>
      <c r="AK147" s="98"/>
      <c r="AL147" s="98"/>
      <c r="AM147" s="98"/>
      <c r="AN147" s="98"/>
      <c r="AO147" s="98"/>
    </row>
    <row r="148" spans="1:67" ht="15" thickBot="1" x14ac:dyDescent="0.25">
      <c r="A148" s="1375" t="s">
        <v>33</v>
      </c>
      <c r="B148" s="1376"/>
      <c r="C148" s="94"/>
      <c r="D148" s="95"/>
      <c r="E148" s="129"/>
      <c r="F148" s="129"/>
      <c r="G148" s="129">
        <v>60353.89</v>
      </c>
      <c r="H148" s="129">
        <v>66165.63</v>
      </c>
      <c r="I148" s="129">
        <v>195921.16999999998</v>
      </c>
      <c r="J148" s="129">
        <v>339735.91500000004</v>
      </c>
      <c r="K148" s="129">
        <v>358705.08799999999</v>
      </c>
      <c r="L148" s="129">
        <v>507744.66899999999</v>
      </c>
      <c r="M148" s="129">
        <v>437769</v>
      </c>
      <c r="N148" s="129">
        <v>210829.29</v>
      </c>
      <c r="O148" s="129">
        <v>132343</v>
      </c>
      <c r="P148" s="130">
        <v>81123.709999999992</v>
      </c>
      <c r="Q148" s="130">
        <v>168551.96</v>
      </c>
      <c r="R148" s="130">
        <v>231061.62</v>
      </c>
      <c r="S148" s="130">
        <v>350459.05</v>
      </c>
      <c r="T148" s="130">
        <v>399347.57</v>
      </c>
      <c r="U148" s="130">
        <v>633659</v>
      </c>
      <c r="V148" s="130">
        <v>741830</v>
      </c>
      <c r="W148" s="130">
        <v>978752</v>
      </c>
      <c r="X148" s="130">
        <v>1641750.9652000002</v>
      </c>
      <c r="Y148" s="130">
        <v>2467429.8604500005</v>
      </c>
      <c r="Z148" s="130">
        <v>2230292.5</v>
      </c>
      <c r="AA148" s="130">
        <v>2296237.0017137029</v>
      </c>
      <c r="AB148" s="130">
        <v>2364237.365469818</v>
      </c>
      <c r="AC148" s="130">
        <v>1601816.6706127089</v>
      </c>
      <c r="AD148" s="554">
        <f>AD102+AD128+AD146</f>
        <v>1365273.3862215043</v>
      </c>
      <c r="AE148" s="554">
        <f>AE102+AE128+AE146</f>
        <v>580742.00391718093</v>
      </c>
      <c r="AF148" s="554">
        <f>AF102+AF128+AF146</f>
        <v>448379.0141137155</v>
      </c>
      <c r="AG148" s="554">
        <f>AG102+AG128+AG146</f>
        <v>20890511.329698637</v>
      </c>
      <c r="AH148" s="98"/>
      <c r="AI148" s="99"/>
      <c r="AJ148" s="99"/>
      <c r="AK148" s="99"/>
      <c r="AL148" s="100"/>
      <c r="AM148" s="100"/>
      <c r="AN148" s="100"/>
      <c r="AO148" s="100"/>
    </row>
    <row r="149" spans="1:67" ht="14.25" x14ac:dyDescent="0.2">
      <c r="A149" s="131"/>
      <c r="B149" s="132"/>
      <c r="C149" s="133"/>
      <c r="D149" s="134"/>
      <c r="E149" s="134"/>
      <c r="F149" s="134"/>
      <c r="G149" s="134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5"/>
      <c r="AH149" s="100"/>
      <c r="AI149" s="100"/>
      <c r="AJ149" s="100"/>
      <c r="AK149" s="100"/>
      <c r="AL149" s="100"/>
      <c r="AM149" s="100"/>
      <c r="AN149" s="100"/>
      <c r="AO149" s="100"/>
    </row>
    <row r="150" spans="1:67" x14ac:dyDescent="0.2">
      <c r="A150" s="1112" t="s">
        <v>318</v>
      </c>
      <c r="C150" s="137"/>
      <c r="E150" s="138"/>
      <c r="F150" s="138"/>
      <c r="G150" s="138"/>
      <c r="AG150" s="100"/>
      <c r="AH150" s="100"/>
      <c r="AI150" s="100"/>
      <c r="AJ150" s="100"/>
      <c r="AK150" s="100"/>
      <c r="AL150" s="100"/>
      <c r="AM150" s="100"/>
      <c r="AN150" s="100"/>
      <c r="AO150" s="100"/>
    </row>
    <row r="151" spans="1:67" x14ac:dyDescent="0.2">
      <c r="A151" s="409"/>
    </row>
    <row r="152" spans="1:67" x14ac:dyDescent="0.2">
      <c r="A152" s="409"/>
    </row>
    <row r="153" spans="1:67" x14ac:dyDescent="0.2">
      <c r="A153" s="409"/>
    </row>
    <row r="154" spans="1:67" x14ac:dyDescent="0.2">
      <c r="A154" s="409"/>
    </row>
    <row r="155" spans="1:67" x14ac:dyDescent="0.2">
      <c r="A155" s="132"/>
    </row>
    <row r="192" spans="26:26" x14ac:dyDescent="0.2">
      <c r="Z192" s="73" t="s">
        <v>225</v>
      </c>
    </row>
  </sheetData>
  <mergeCells count="5">
    <mergeCell ref="A148:B148"/>
    <mergeCell ref="A146:B146"/>
    <mergeCell ref="A128:B128"/>
    <mergeCell ref="A1:AG1"/>
    <mergeCell ref="A102:B102"/>
  </mergeCells>
  <pageMargins left="0.78740157480314965" right="0.59055118110236227" top="0.59055118110236227" bottom="0.59055118110236227" header="0.31496062992125984" footer="0.31496062992125984"/>
  <pageSetup paperSize="8" scale="4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57"/>
  <sheetViews>
    <sheetView showGridLines="0" view="pageBreakPreview" zoomScale="90" zoomScaleNormal="85" zoomScaleSheetLayoutView="90" workbookViewId="0">
      <pane xSplit="2" ySplit="3" topLeftCell="V30" activePane="bottomRight" state="frozen"/>
      <selection activeCell="N42" sqref="N42"/>
      <selection pane="topRight" activeCell="N42" sqref="N42"/>
      <selection pane="bottomLeft" activeCell="N42" sqref="N42"/>
      <selection pane="bottomRight" activeCell="X51" sqref="X51"/>
    </sheetView>
  </sheetViews>
  <sheetFormatPr baseColWidth="10" defaultColWidth="11.42578125" defaultRowHeight="12.75" x14ac:dyDescent="0.2"/>
  <cols>
    <col min="1" max="1" width="5.28515625" style="73" customWidth="1"/>
    <col min="2" max="2" width="63" style="73" customWidth="1"/>
    <col min="3" max="25" width="10.42578125" style="73" bestFit="1" customWidth="1"/>
    <col min="26" max="26" width="11.28515625" style="73" bestFit="1" customWidth="1"/>
    <col min="27" max="31" width="10.42578125" style="73" bestFit="1" customWidth="1"/>
    <col min="32" max="32" width="10.42578125" style="73" customWidth="1"/>
    <col min="33" max="33" width="12.42578125" style="73" bestFit="1" customWidth="1"/>
    <col min="34" max="37" width="11.42578125" style="73"/>
    <col min="38" max="38" width="14" style="73" customWidth="1"/>
    <col min="39" max="39" width="37.7109375" style="73" customWidth="1"/>
    <col min="40" max="16384" width="11.42578125" style="73"/>
  </cols>
  <sheetData>
    <row r="1" spans="1:68" ht="18" x14ac:dyDescent="0.25">
      <c r="A1" s="1379" t="s">
        <v>361</v>
      </c>
      <c r="B1" s="1379"/>
      <c r="C1" s="1379"/>
      <c r="D1" s="1379"/>
      <c r="E1" s="1379"/>
      <c r="F1" s="1379"/>
      <c r="G1" s="1379"/>
      <c r="H1" s="1379"/>
      <c r="I1" s="1379"/>
      <c r="J1" s="1379"/>
      <c r="K1" s="1379"/>
      <c r="L1" s="1379"/>
      <c r="M1" s="1379"/>
      <c r="N1" s="1379"/>
      <c r="O1" s="1379"/>
      <c r="P1" s="1379"/>
      <c r="Q1" s="1379"/>
      <c r="R1" s="1379"/>
      <c r="S1" s="1379"/>
      <c r="T1" s="1379"/>
      <c r="U1" s="1379"/>
      <c r="V1" s="1379"/>
      <c r="W1" s="1379"/>
      <c r="X1" s="1379"/>
      <c r="Y1" s="1379"/>
      <c r="Z1" s="1379"/>
      <c r="AA1" s="1379"/>
      <c r="AB1" s="1379"/>
      <c r="AC1" s="1379"/>
      <c r="AD1" s="1379"/>
      <c r="AE1" s="1379"/>
      <c r="AF1" s="1379"/>
      <c r="AG1" s="1379"/>
    </row>
    <row r="2" spans="1:68" ht="18.75" thickBot="1" x14ac:dyDescent="0.3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129"/>
      <c r="AG2" s="139"/>
    </row>
    <row r="3" spans="1:68" s="75" customFormat="1" ht="16.5" thickBot="1" x14ac:dyDescent="0.3">
      <c r="A3" s="1213" t="s">
        <v>117</v>
      </c>
      <c r="B3" s="1214" t="s">
        <v>118</v>
      </c>
      <c r="C3" s="1222">
        <v>1990</v>
      </c>
      <c r="D3" s="1223">
        <v>1991</v>
      </c>
      <c r="E3" s="1223">
        <v>1992</v>
      </c>
      <c r="F3" s="1223">
        <v>1993</v>
      </c>
      <c r="G3" s="1223">
        <v>1994</v>
      </c>
      <c r="H3" s="1223">
        <v>1995</v>
      </c>
      <c r="I3" s="1223">
        <v>1996</v>
      </c>
      <c r="J3" s="1223">
        <v>1997</v>
      </c>
      <c r="K3" s="1223">
        <v>1998</v>
      </c>
      <c r="L3" s="1223">
        <v>1999</v>
      </c>
      <c r="M3" s="1222">
        <v>2000</v>
      </c>
      <c r="N3" s="1222">
        <v>2001</v>
      </c>
      <c r="O3" s="1222">
        <v>2002</v>
      </c>
      <c r="P3" s="1222">
        <v>2003</v>
      </c>
      <c r="Q3" s="1222">
        <v>2004</v>
      </c>
      <c r="R3" s="1222">
        <v>2005</v>
      </c>
      <c r="S3" s="1222">
        <v>2006</v>
      </c>
      <c r="T3" s="1222">
        <v>2007</v>
      </c>
      <c r="U3" s="1222">
        <v>2008</v>
      </c>
      <c r="V3" s="1224">
        <v>2009</v>
      </c>
      <c r="W3" s="1222">
        <v>2010</v>
      </c>
      <c r="X3" s="1222">
        <v>2011</v>
      </c>
      <c r="Y3" s="1222">
        <v>2012</v>
      </c>
      <c r="Z3" s="1222">
        <v>2013</v>
      </c>
      <c r="AA3" s="1224">
        <v>2014</v>
      </c>
      <c r="AB3" s="1224">
        <v>2015</v>
      </c>
      <c r="AC3" s="1224">
        <v>2016</v>
      </c>
      <c r="AD3" s="1224">
        <v>2017</v>
      </c>
      <c r="AE3" s="1224">
        <v>2018</v>
      </c>
      <c r="AF3" s="1224">
        <v>2019</v>
      </c>
      <c r="AG3" s="1225" t="s">
        <v>0</v>
      </c>
      <c r="AH3" s="74"/>
      <c r="AI3" s="74"/>
      <c r="AJ3" s="74"/>
      <c r="AK3" s="74"/>
      <c r="AL3" s="74"/>
      <c r="AM3" s="74"/>
      <c r="AN3" s="74"/>
      <c r="AO3" s="74"/>
    </row>
    <row r="4" spans="1:68" s="72" customFormat="1" ht="14.25" x14ac:dyDescent="0.2">
      <c r="A4" s="140">
        <v>1</v>
      </c>
      <c r="B4" s="141" t="s">
        <v>151</v>
      </c>
      <c r="C4" s="142"/>
      <c r="D4" s="142"/>
      <c r="E4" s="142"/>
      <c r="F4" s="142"/>
      <c r="G4" s="142"/>
      <c r="H4" s="142">
        <v>198</v>
      </c>
      <c r="I4" s="142">
        <v>1167</v>
      </c>
      <c r="J4" s="143">
        <v>1015</v>
      </c>
      <c r="K4" s="143">
        <v>467</v>
      </c>
      <c r="L4" s="142">
        <v>3786.1970000000001</v>
      </c>
      <c r="M4" s="144">
        <v>2922</v>
      </c>
      <c r="N4" s="142">
        <v>949.16</v>
      </c>
      <c r="O4" s="143"/>
      <c r="P4" s="143"/>
      <c r="Q4" s="142"/>
      <c r="R4" s="143"/>
      <c r="S4" s="143"/>
      <c r="T4" s="143"/>
      <c r="U4" s="143"/>
      <c r="V4" s="143"/>
      <c r="W4" s="142"/>
      <c r="X4" s="142"/>
      <c r="Y4" s="142">
        <v>8636</v>
      </c>
      <c r="Z4" s="142"/>
      <c r="AA4" s="142"/>
      <c r="AB4" s="142"/>
      <c r="AC4" s="142"/>
      <c r="AD4" s="142"/>
      <c r="AE4" s="142"/>
      <c r="AF4" s="142"/>
      <c r="AG4" s="557">
        <f>SUM(H4:AF4)</f>
        <v>19140.357</v>
      </c>
      <c r="AH4" s="90"/>
      <c r="AI4" s="90"/>
      <c r="AJ4" s="90"/>
      <c r="AK4" s="90"/>
      <c r="AL4" s="90"/>
      <c r="AM4" s="91"/>
      <c r="AN4" s="92"/>
      <c r="AO4" s="91"/>
    </row>
    <row r="5" spans="1:68" s="72" customFormat="1" ht="14.25" x14ac:dyDescent="0.2">
      <c r="A5" s="145">
        <f t="shared" ref="A5:A11" si="0">A4+1</f>
        <v>2</v>
      </c>
      <c r="B5" s="146" t="s">
        <v>152</v>
      </c>
      <c r="C5" s="147">
        <v>488</v>
      </c>
      <c r="D5" s="147">
        <v>16018</v>
      </c>
      <c r="E5" s="147">
        <v>16956</v>
      </c>
      <c r="F5" s="147">
        <v>19043</v>
      </c>
      <c r="G5" s="147"/>
      <c r="H5" s="147"/>
      <c r="I5" s="147"/>
      <c r="J5" s="146"/>
      <c r="K5" s="146"/>
      <c r="L5" s="146"/>
      <c r="M5" s="148"/>
      <c r="N5" s="146"/>
      <c r="O5" s="149"/>
      <c r="P5" s="149"/>
      <c r="Q5" s="146"/>
      <c r="R5" s="149"/>
      <c r="S5" s="149"/>
      <c r="T5" s="149"/>
      <c r="U5" s="149"/>
      <c r="V5" s="149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558">
        <f>SUM(H5:AF5)</f>
        <v>0</v>
      </c>
      <c r="AH5" s="90"/>
      <c r="AI5" s="91"/>
      <c r="AJ5" s="91"/>
      <c r="AK5" s="91"/>
      <c r="AL5" s="90"/>
      <c r="AM5" s="91"/>
      <c r="AN5" s="92"/>
      <c r="AO5" s="91"/>
    </row>
    <row r="6" spans="1:68" s="72" customFormat="1" ht="14.25" x14ac:dyDescent="0.2">
      <c r="A6" s="145">
        <f t="shared" si="0"/>
        <v>3</v>
      </c>
      <c r="B6" s="146" t="s">
        <v>153</v>
      </c>
      <c r="C6" s="147">
        <v>42220</v>
      </c>
      <c r="D6" s="147">
        <v>11497</v>
      </c>
      <c r="E6" s="147">
        <v>54215</v>
      </c>
      <c r="F6" s="147">
        <v>49330</v>
      </c>
      <c r="G6" s="147">
        <v>22137</v>
      </c>
      <c r="H6" s="147">
        <v>23670</v>
      </c>
      <c r="I6" s="147">
        <v>26810</v>
      </c>
      <c r="J6" s="147">
        <v>39439</v>
      </c>
      <c r="K6" s="147">
        <v>14521.72</v>
      </c>
      <c r="L6" s="147">
        <v>19313.91</v>
      </c>
      <c r="M6" s="150">
        <v>20688</v>
      </c>
      <c r="N6" s="147">
        <v>3172</v>
      </c>
      <c r="O6" s="151">
        <v>4468</v>
      </c>
      <c r="P6" s="151">
        <v>4113</v>
      </c>
      <c r="Q6" s="147">
        <v>2654</v>
      </c>
      <c r="R6" s="151">
        <v>4050</v>
      </c>
      <c r="S6" s="151">
        <v>3700</v>
      </c>
      <c r="T6" s="151">
        <v>5020</v>
      </c>
      <c r="U6" s="151">
        <v>5389</v>
      </c>
      <c r="V6" s="151">
        <v>4644</v>
      </c>
      <c r="W6" s="147">
        <v>6840</v>
      </c>
      <c r="X6" s="147">
        <v>8665</v>
      </c>
      <c r="Y6" s="147"/>
      <c r="Z6" s="147">
        <v>14257</v>
      </c>
      <c r="AA6" s="147">
        <v>31853</v>
      </c>
      <c r="AB6" s="147">
        <v>17248.080000000002</v>
      </c>
      <c r="AC6" s="147">
        <v>21035</v>
      </c>
      <c r="AD6" s="147">
        <v>16467</v>
      </c>
      <c r="AE6" s="147">
        <v>5520</v>
      </c>
      <c r="AF6" s="147">
        <v>9110.0582939493925</v>
      </c>
      <c r="AG6" s="558">
        <f>SUM(H6:AF6)</f>
        <v>312647.76829394943</v>
      </c>
      <c r="AH6" s="90"/>
      <c r="AI6" s="91"/>
      <c r="AJ6" s="91"/>
      <c r="AK6" s="91"/>
      <c r="AL6" s="90"/>
      <c r="AM6" s="91"/>
      <c r="AN6" s="91"/>
      <c r="AO6" s="91"/>
    </row>
    <row r="7" spans="1:68" s="72" customFormat="1" ht="14.25" x14ac:dyDescent="0.2">
      <c r="A7" s="145">
        <f t="shared" si="0"/>
        <v>4</v>
      </c>
      <c r="B7" s="146" t="s">
        <v>154</v>
      </c>
      <c r="C7" s="147"/>
      <c r="D7" s="147"/>
      <c r="E7" s="147"/>
      <c r="F7" s="147"/>
      <c r="G7" s="147"/>
      <c r="H7" s="147"/>
      <c r="I7" s="147"/>
      <c r="J7" s="146"/>
      <c r="K7" s="147">
        <v>10360</v>
      </c>
      <c r="L7" s="147">
        <v>25640</v>
      </c>
      <c r="M7" s="150">
        <v>21600</v>
      </c>
      <c r="N7" s="147">
        <v>47602</v>
      </c>
      <c r="O7" s="151">
        <v>67261</v>
      </c>
      <c r="P7" s="151">
        <v>58696</v>
      </c>
      <c r="Q7" s="147">
        <v>56334</v>
      </c>
      <c r="R7" s="151">
        <v>41292</v>
      </c>
      <c r="S7" s="151">
        <v>20787</v>
      </c>
      <c r="T7" s="151">
        <v>57192</v>
      </c>
      <c r="U7" s="151">
        <v>2055</v>
      </c>
      <c r="V7" s="151">
        <v>0</v>
      </c>
      <c r="W7" s="147">
        <v>0</v>
      </c>
      <c r="X7" s="147">
        <v>0</v>
      </c>
      <c r="Y7" s="147"/>
      <c r="Z7" s="147"/>
      <c r="AA7" s="147"/>
      <c r="AB7" s="147"/>
      <c r="AC7" s="147"/>
      <c r="AD7" s="147"/>
      <c r="AE7" s="147"/>
      <c r="AF7" s="147"/>
      <c r="AG7" s="558">
        <f>SUM(H7:AF7)</f>
        <v>408819</v>
      </c>
      <c r="AH7" s="90"/>
      <c r="AI7" s="90"/>
      <c r="AJ7" s="90"/>
      <c r="AK7" s="90"/>
      <c r="AL7" s="90"/>
      <c r="AM7" s="90"/>
      <c r="AN7" s="92"/>
      <c r="AO7" s="90"/>
      <c r="AQ7" s="121"/>
      <c r="AR7" s="121"/>
      <c r="AS7" s="121"/>
      <c r="AT7" s="121"/>
    </row>
    <row r="8" spans="1:68" s="72" customFormat="1" ht="14.25" x14ac:dyDescent="0.2">
      <c r="A8" s="145">
        <f t="shared" si="0"/>
        <v>5</v>
      </c>
      <c r="B8" s="146" t="s">
        <v>155</v>
      </c>
      <c r="C8" s="147"/>
      <c r="D8" s="147"/>
      <c r="E8" s="147"/>
      <c r="F8" s="147"/>
      <c r="G8" s="147">
        <v>2796.67</v>
      </c>
      <c r="H8" s="147">
        <v>1495.71</v>
      </c>
      <c r="I8" s="147">
        <v>4194.2</v>
      </c>
      <c r="J8" s="147">
        <v>6890.29</v>
      </c>
      <c r="K8" s="147">
        <v>29741.5</v>
      </c>
      <c r="L8" s="147">
        <v>31716.54</v>
      </c>
      <c r="M8" s="150">
        <v>17715</v>
      </c>
      <c r="N8" s="147">
        <v>2532</v>
      </c>
      <c r="O8" s="151">
        <v>344</v>
      </c>
      <c r="P8" s="151">
        <v>1470.05</v>
      </c>
      <c r="Q8" s="147">
        <v>6350.94</v>
      </c>
      <c r="R8" s="151">
        <v>6560.7</v>
      </c>
      <c r="S8" s="151">
        <v>3250.88</v>
      </c>
      <c r="T8" s="151">
        <v>9585</v>
      </c>
      <c r="U8" s="151">
        <v>10729</v>
      </c>
      <c r="V8" s="151">
        <v>25289</v>
      </c>
      <c r="W8" s="147">
        <v>5465</v>
      </c>
      <c r="X8" s="147">
        <v>1454</v>
      </c>
      <c r="Y8" s="147">
        <v>25</v>
      </c>
      <c r="Z8" s="147">
        <v>255</v>
      </c>
      <c r="AA8" s="147">
        <v>143.62</v>
      </c>
      <c r="AB8" s="147">
        <v>1052.19</v>
      </c>
      <c r="AC8" s="147">
        <v>829.83772619047625</v>
      </c>
      <c r="AD8" s="147">
        <v>276.92357885344109</v>
      </c>
      <c r="AE8" s="147">
        <v>5543.34</v>
      </c>
      <c r="AF8" s="147">
        <v>569.37864337183703</v>
      </c>
      <c r="AG8" s="558">
        <f t="shared" ref="AG8:AG9" si="1">SUM(H8:AF8)</f>
        <v>173479.09994841574</v>
      </c>
      <c r="AH8" s="90"/>
      <c r="AI8" s="90"/>
      <c r="AJ8" s="90"/>
      <c r="AK8" s="90"/>
      <c r="AL8" s="90"/>
      <c r="AM8" s="90"/>
      <c r="AN8" s="90"/>
      <c r="AO8" s="90"/>
    </row>
    <row r="9" spans="1:68" s="72" customFormat="1" ht="14.25" x14ac:dyDescent="0.2">
      <c r="A9" s="145">
        <f t="shared" si="0"/>
        <v>6</v>
      </c>
      <c r="B9" s="146" t="s">
        <v>156</v>
      </c>
      <c r="C9" s="147"/>
      <c r="D9" s="147"/>
      <c r="E9" s="147"/>
      <c r="F9" s="147"/>
      <c r="G9" s="147"/>
      <c r="H9" s="147">
        <v>72</v>
      </c>
      <c r="I9" s="147">
        <v>227</v>
      </c>
      <c r="J9" s="147">
        <v>1362</v>
      </c>
      <c r="K9" s="147">
        <v>5878</v>
      </c>
      <c r="L9" s="147">
        <v>3425</v>
      </c>
      <c r="M9" s="150">
        <v>985</v>
      </c>
      <c r="N9" s="147">
        <v>1415.92</v>
      </c>
      <c r="O9" s="151">
        <v>636</v>
      </c>
      <c r="P9" s="151">
        <v>219.38</v>
      </c>
      <c r="Q9" s="147">
        <v>188.28</v>
      </c>
      <c r="R9" s="151">
        <v>227.23</v>
      </c>
      <c r="S9" s="151">
        <v>254.26</v>
      </c>
      <c r="T9" s="151">
        <v>224.84</v>
      </c>
      <c r="U9" s="151">
        <v>4992</v>
      </c>
      <c r="V9" s="151">
        <v>4537</v>
      </c>
      <c r="W9" s="147">
        <v>1212</v>
      </c>
      <c r="X9" s="147">
        <v>158.39999999999998</v>
      </c>
      <c r="Y9" s="147">
        <v>342</v>
      </c>
      <c r="Z9" s="147">
        <v>544</v>
      </c>
      <c r="AA9" s="147">
        <v>161.19999999999999</v>
      </c>
      <c r="AB9" s="147">
        <v>1382.9</v>
      </c>
      <c r="AC9" s="147">
        <v>691.41923999999995</v>
      </c>
      <c r="AD9" s="147">
        <v>540.6</v>
      </c>
      <c r="AE9" s="147">
        <v>2057.768226985012</v>
      </c>
      <c r="AF9" s="147">
        <v>1977.8416032916446</v>
      </c>
      <c r="AG9" s="558">
        <f t="shared" si="1"/>
        <v>33712.03907027666</v>
      </c>
      <c r="AH9" s="90"/>
      <c r="AI9" s="91"/>
      <c r="AJ9" s="91"/>
      <c r="AK9" s="91"/>
      <c r="AL9" s="91"/>
      <c r="AM9" s="91"/>
      <c r="AN9" s="91"/>
      <c r="AO9" s="91"/>
    </row>
    <row r="10" spans="1:68" s="72" customFormat="1" ht="14.25" x14ac:dyDescent="0.2">
      <c r="A10" s="145">
        <f t="shared" si="0"/>
        <v>7</v>
      </c>
      <c r="B10" s="146" t="s">
        <v>157</v>
      </c>
      <c r="C10" s="147"/>
      <c r="D10" s="147"/>
      <c r="E10" s="147"/>
      <c r="F10" s="147"/>
      <c r="G10" s="147">
        <v>3135.3429999999998</v>
      </c>
      <c r="H10" s="147">
        <v>4517.0919999999996</v>
      </c>
      <c r="I10" s="147">
        <v>2891.973</v>
      </c>
      <c r="J10" s="147">
        <v>4895.3270000000002</v>
      </c>
      <c r="K10" s="147">
        <v>5062.0159999999996</v>
      </c>
      <c r="L10" s="147">
        <v>13311.813</v>
      </c>
      <c r="M10" s="150">
        <v>34590</v>
      </c>
      <c r="N10" s="147">
        <v>12855</v>
      </c>
      <c r="O10" s="151">
        <v>4446</v>
      </c>
      <c r="P10" s="151">
        <v>1893.07</v>
      </c>
      <c r="Q10" s="147">
        <v>567</v>
      </c>
      <c r="R10" s="151">
        <v>1179.57</v>
      </c>
      <c r="S10" s="151">
        <v>126.01</v>
      </c>
      <c r="T10" s="151">
        <v>710.51</v>
      </c>
      <c r="U10" s="151">
        <v>2239</v>
      </c>
      <c r="V10" s="151">
        <v>53923</v>
      </c>
      <c r="W10" s="147">
        <v>8801</v>
      </c>
      <c r="X10" s="147">
        <v>16560</v>
      </c>
      <c r="Y10" s="147">
        <v>23215</v>
      </c>
      <c r="Z10" s="147">
        <v>45806.8</v>
      </c>
      <c r="AA10" s="147">
        <v>25096.2</v>
      </c>
      <c r="AB10" s="147">
        <v>18106.920689655177</v>
      </c>
      <c r="AC10" s="147">
        <v>3650</v>
      </c>
      <c r="AD10" s="147">
        <v>1407.31539751227</v>
      </c>
      <c r="AE10" s="147">
        <v>866.61753277751905</v>
      </c>
      <c r="AF10" s="147">
        <v>1078.8226927045334</v>
      </c>
      <c r="AG10" s="558">
        <f>SUM(H10:AF10)</f>
        <v>287796.05731264956</v>
      </c>
      <c r="AH10" s="90"/>
      <c r="AI10" s="91"/>
      <c r="AJ10" s="91"/>
      <c r="AK10" s="91"/>
      <c r="AL10" s="91"/>
      <c r="AM10" s="91"/>
      <c r="AN10" s="91"/>
      <c r="AO10" s="91"/>
    </row>
    <row r="11" spans="1:68" s="72" customFormat="1" ht="15" thickBot="1" x14ac:dyDescent="0.25">
      <c r="A11" s="152">
        <f t="shared" si="0"/>
        <v>8</v>
      </c>
      <c r="B11" s="153" t="s">
        <v>158</v>
      </c>
      <c r="C11" s="154"/>
      <c r="D11" s="154"/>
      <c r="E11" s="154"/>
      <c r="F11" s="154"/>
      <c r="G11" s="154">
        <v>6458.7150000000001</v>
      </c>
      <c r="H11" s="154">
        <v>8465.3070000000007</v>
      </c>
      <c r="I11" s="154">
        <v>29977.263999999999</v>
      </c>
      <c r="J11" s="154">
        <v>49635.559000000001</v>
      </c>
      <c r="K11" s="154">
        <v>48508.877</v>
      </c>
      <c r="L11" s="154">
        <v>39138.449000000001</v>
      </c>
      <c r="M11" s="155">
        <v>24716</v>
      </c>
      <c r="N11" s="154">
        <v>7751</v>
      </c>
      <c r="O11" s="156">
        <v>643</v>
      </c>
      <c r="P11" s="156">
        <v>714</v>
      </c>
      <c r="Q11" s="154">
        <v>907</v>
      </c>
      <c r="R11" s="156">
        <v>457.21</v>
      </c>
      <c r="S11" s="156">
        <v>1079.77</v>
      </c>
      <c r="T11" s="156">
        <v>766.95</v>
      </c>
      <c r="U11" s="156">
        <v>1109</v>
      </c>
      <c r="V11" s="156">
        <v>456</v>
      </c>
      <c r="W11" s="154">
        <v>2796</v>
      </c>
      <c r="X11" s="154">
        <v>1758.3</v>
      </c>
      <c r="Y11" s="154">
        <v>3062</v>
      </c>
      <c r="Z11" s="154">
        <v>4352</v>
      </c>
      <c r="AA11" s="154">
        <v>4836.5</v>
      </c>
      <c r="AB11" s="154">
        <v>5236.5</v>
      </c>
      <c r="AC11" s="154">
        <v>776.34346060606072</v>
      </c>
      <c r="AD11" s="154">
        <v>1671.2654848484847</v>
      </c>
      <c r="AE11" s="154">
        <v>3932.5627386662818</v>
      </c>
      <c r="AF11" s="154">
        <v>7012.3475025794669</v>
      </c>
      <c r="AG11" s="556">
        <f>SUM(H11:AF11)</f>
        <v>249759.2051867003</v>
      </c>
      <c r="AH11" s="90"/>
      <c r="AI11" s="90"/>
      <c r="AJ11" s="90"/>
      <c r="AK11" s="91"/>
      <c r="AL11" s="90"/>
      <c r="AM11" s="91"/>
      <c r="AN11" s="91"/>
      <c r="AO11" s="91"/>
    </row>
    <row r="12" spans="1:68" s="72" customFormat="1" ht="15" thickBot="1" x14ac:dyDescent="0.25">
      <c r="A12" s="1408" t="s">
        <v>0</v>
      </c>
      <c r="B12" s="1409"/>
      <c r="C12" s="1410">
        <f t="shared" ref="C12:S12" si="2">SUM(C4:C11)</f>
        <v>42708</v>
      </c>
      <c r="D12" s="1410">
        <f t="shared" si="2"/>
        <v>27515</v>
      </c>
      <c r="E12" s="1410">
        <f t="shared" si="2"/>
        <v>71171</v>
      </c>
      <c r="F12" s="1410">
        <f t="shared" si="2"/>
        <v>68373</v>
      </c>
      <c r="G12" s="1410">
        <f t="shared" si="2"/>
        <v>34527.728000000003</v>
      </c>
      <c r="H12" s="1410">
        <f t="shared" si="2"/>
        <v>38418.108999999997</v>
      </c>
      <c r="I12" s="1410">
        <f t="shared" si="2"/>
        <v>65267.437000000005</v>
      </c>
      <c r="J12" s="1410">
        <f t="shared" si="2"/>
        <v>103237.17600000001</v>
      </c>
      <c r="K12" s="1410">
        <f t="shared" si="2"/>
        <v>114539.11300000001</v>
      </c>
      <c r="L12" s="1410">
        <f t="shared" si="2"/>
        <v>136331.90899999999</v>
      </c>
      <c r="M12" s="1410">
        <f t="shared" si="2"/>
        <v>123216</v>
      </c>
      <c r="N12" s="1410">
        <f t="shared" si="2"/>
        <v>76277.08</v>
      </c>
      <c r="O12" s="1411">
        <f t="shared" si="2"/>
        <v>77798</v>
      </c>
      <c r="P12" s="1411">
        <f t="shared" si="2"/>
        <v>67105.5</v>
      </c>
      <c r="Q12" s="1410">
        <f t="shared" si="2"/>
        <v>67001.22</v>
      </c>
      <c r="R12" s="1411">
        <f t="shared" si="2"/>
        <v>53766.71</v>
      </c>
      <c r="S12" s="1411">
        <f t="shared" si="2"/>
        <v>29197.919999999998</v>
      </c>
      <c r="T12" s="1411">
        <f t="shared" ref="T12:AG12" si="3">SUM(T4:T11)</f>
        <v>73499.299999999988</v>
      </c>
      <c r="U12" s="1411">
        <f t="shared" si="3"/>
        <v>26513</v>
      </c>
      <c r="V12" s="1411">
        <f t="shared" si="3"/>
        <v>88849</v>
      </c>
      <c r="W12" s="1410">
        <f t="shared" si="3"/>
        <v>25114</v>
      </c>
      <c r="X12" s="1410">
        <f t="shared" si="3"/>
        <v>28595.7</v>
      </c>
      <c r="Y12" s="1410">
        <f t="shared" si="3"/>
        <v>35280</v>
      </c>
      <c r="Z12" s="1410">
        <f t="shared" ref="Z12:AF12" si="4">SUM(Z4:Z11)</f>
        <v>65214.8</v>
      </c>
      <c r="AA12" s="1410">
        <f t="shared" si="4"/>
        <v>62090.520000000004</v>
      </c>
      <c r="AB12" s="1410">
        <f t="shared" si="4"/>
        <v>43026.590689655175</v>
      </c>
      <c r="AC12" s="1410">
        <f t="shared" si="4"/>
        <v>26982.600426796536</v>
      </c>
      <c r="AD12" s="1410">
        <f t="shared" si="4"/>
        <v>20363.104461214196</v>
      </c>
      <c r="AE12" s="1410">
        <f t="shared" si="4"/>
        <v>17920.288498428814</v>
      </c>
      <c r="AF12" s="1410">
        <f t="shared" si="4"/>
        <v>19748.448735896876</v>
      </c>
      <c r="AG12" s="1412">
        <f t="shared" si="3"/>
        <v>1485353.5268119916</v>
      </c>
      <c r="AH12" s="81"/>
      <c r="AI12" s="90"/>
      <c r="AJ12" s="90"/>
      <c r="AK12" s="91"/>
      <c r="AL12" s="90"/>
      <c r="AM12" s="91"/>
      <c r="AN12" s="91"/>
      <c r="AO12" s="91"/>
    </row>
    <row r="13" spans="1:68" s="72" customFormat="1" ht="14.25" x14ac:dyDescent="0.2">
      <c r="A13" s="171"/>
      <c r="B13" s="101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4"/>
      <c r="AH13" s="81"/>
      <c r="AI13" s="90"/>
      <c r="AJ13" s="90"/>
      <c r="AK13" s="91"/>
      <c r="AL13" s="90"/>
      <c r="AM13" s="91"/>
      <c r="AN13" s="91"/>
      <c r="AO13" s="91"/>
    </row>
    <row r="14" spans="1:68" s="72" customFormat="1" ht="15" thickBot="1" x14ac:dyDescent="0.25">
      <c r="A14" s="171"/>
      <c r="B14" s="101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4"/>
      <c r="AH14" s="81"/>
      <c r="AI14" s="90"/>
      <c r="AJ14" s="90"/>
      <c r="AK14" s="91"/>
      <c r="AL14" s="90"/>
      <c r="AM14" s="91"/>
      <c r="AN14" s="91"/>
      <c r="AO14" s="91"/>
    </row>
    <row r="15" spans="1:68" s="72" customFormat="1" ht="15.75" thickBot="1" x14ac:dyDescent="0.25">
      <c r="A15" s="1213" t="s">
        <v>117</v>
      </c>
      <c r="B15" s="1214" t="s">
        <v>135</v>
      </c>
      <c r="C15" s="1222"/>
      <c r="D15" s="1223"/>
      <c r="E15" s="1223"/>
      <c r="F15" s="1223"/>
      <c r="G15" s="1223"/>
      <c r="H15" s="1223">
        <v>1995</v>
      </c>
      <c r="I15" s="1223">
        <v>1996</v>
      </c>
      <c r="J15" s="1223">
        <v>1997</v>
      </c>
      <c r="K15" s="1223">
        <v>1998</v>
      </c>
      <c r="L15" s="1223">
        <v>1999</v>
      </c>
      <c r="M15" s="1222">
        <v>2000</v>
      </c>
      <c r="N15" s="1222">
        <v>2001</v>
      </c>
      <c r="O15" s="1222">
        <v>2002</v>
      </c>
      <c r="P15" s="1222">
        <v>2003</v>
      </c>
      <c r="Q15" s="1222">
        <v>2004</v>
      </c>
      <c r="R15" s="1222">
        <v>2005</v>
      </c>
      <c r="S15" s="1222">
        <v>2006</v>
      </c>
      <c r="T15" s="1222">
        <v>2007</v>
      </c>
      <c r="U15" s="1222">
        <v>2008</v>
      </c>
      <c r="V15" s="1224">
        <v>2009</v>
      </c>
      <c r="W15" s="1222">
        <v>2010</v>
      </c>
      <c r="X15" s="1222">
        <v>2011</v>
      </c>
      <c r="Y15" s="1223">
        <v>2012</v>
      </c>
      <c r="Z15" s="1223">
        <v>2013</v>
      </c>
      <c r="AA15" s="1223">
        <v>2014</v>
      </c>
      <c r="AB15" s="1223">
        <v>2015</v>
      </c>
      <c r="AC15" s="1223">
        <v>2016</v>
      </c>
      <c r="AD15" s="1224">
        <v>2017</v>
      </c>
      <c r="AE15" s="1224">
        <v>2018</v>
      </c>
      <c r="AF15" s="1224">
        <v>2019</v>
      </c>
      <c r="AG15" s="1225" t="s">
        <v>0</v>
      </c>
      <c r="AH15" s="90"/>
      <c r="AI15" s="90"/>
      <c r="AJ15" s="90"/>
      <c r="AK15" s="90"/>
      <c r="AL15" s="91"/>
      <c r="AM15" s="90"/>
      <c r="AN15" s="90"/>
      <c r="AO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</row>
    <row r="16" spans="1:68" s="72" customFormat="1" ht="14.25" x14ac:dyDescent="0.2">
      <c r="A16" s="140">
        <v>1</v>
      </c>
      <c r="B16" s="141" t="s">
        <v>152</v>
      </c>
      <c r="C16" s="142">
        <v>3818</v>
      </c>
      <c r="D16" s="142">
        <v>2275</v>
      </c>
      <c r="E16" s="142">
        <v>9828</v>
      </c>
      <c r="F16" s="142">
        <v>12900</v>
      </c>
      <c r="G16" s="157"/>
      <c r="H16" s="157"/>
      <c r="I16" s="157"/>
      <c r="J16" s="157"/>
      <c r="K16" s="157"/>
      <c r="L16" s="157"/>
      <c r="M16" s="158"/>
      <c r="N16" s="157"/>
      <c r="O16" s="159"/>
      <c r="P16" s="159"/>
      <c r="Q16" s="157"/>
      <c r="R16" s="159"/>
      <c r="S16" s="159"/>
      <c r="T16" s="159"/>
      <c r="U16" s="159"/>
      <c r="V16" s="159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557">
        <f>SUM(H16:AF16)</f>
        <v>0</v>
      </c>
      <c r="AH16" s="90"/>
      <c r="AI16" s="90"/>
      <c r="AJ16" s="90"/>
      <c r="AK16" s="91"/>
      <c r="AL16" s="90"/>
      <c r="AM16" s="91"/>
      <c r="AN16" s="92"/>
      <c r="AO16" s="91"/>
    </row>
    <row r="17" spans="1:63" s="72" customFormat="1" ht="14.25" x14ac:dyDescent="0.2">
      <c r="A17" s="145">
        <f>A16+1</f>
        <v>2</v>
      </c>
      <c r="B17" s="146" t="s">
        <v>153</v>
      </c>
      <c r="C17" s="147">
        <v>83130</v>
      </c>
      <c r="D17" s="147">
        <v>61462</v>
      </c>
      <c r="E17" s="147">
        <v>8516</v>
      </c>
      <c r="F17" s="147">
        <v>329</v>
      </c>
      <c r="G17" s="160"/>
      <c r="H17" s="160"/>
      <c r="I17" s="160"/>
      <c r="J17" s="160"/>
      <c r="K17" s="160"/>
      <c r="L17" s="160"/>
      <c r="M17" s="161"/>
      <c r="N17" s="160"/>
      <c r="O17" s="162"/>
      <c r="P17" s="162"/>
      <c r="Q17" s="160"/>
      <c r="R17" s="162"/>
      <c r="S17" s="162"/>
      <c r="T17" s="162"/>
      <c r="U17" s="162"/>
      <c r="V17" s="162"/>
      <c r="W17" s="147"/>
      <c r="X17" s="147"/>
      <c r="Y17" s="147"/>
      <c r="Z17" s="147"/>
      <c r="AA17" s="147"/>
      <c r="AB17" s="147"/>
      <c r="AC17" s="147"/>
      <c r="AD17" s="1093"/>
      <c r="AE17" s="1093"/>
      <c r="AF17" s="1093"/>
      <c r="AG17" s="558">
        <f>SUM(H17:AF17)</f>
        <v>0</v>
      </c>
      <c r="AH17" s="90"/>
      <c r="AI17" s="90"/>
      <c r="AJ17" s="90"/>
      <c r="AK17" s="91"/>
      <c r="AL17" s="90"/>
      <c r="AM17" s="91"/>
      <c r="AN17" s="91"/>
      <c r="AO17" s="91"/>
    </row>
    <row r="18" spans="1:63" s="72" customFormat="1" ht="14.25" x14ac:dyDescent="0.2">
      <c r="A18" s="145">
        <f>A17+1</f>
        <v>3</v>
      </c>
      <c r="B18" s="146" t="s">
        <v>159</v>
      </c>
      <c r="C18" s="147"/>
      <c r="D18" s="147"/>
      <c r="E18" s="147"/>
      <c r="F18" s="147"/>
      <c r="G18" s="147">
        <v>336</v>
      </c>
      <c r="H18" s="147">
        <v>3788</v>
      </c>
      <c r="I18" s="147">
        <v>16601</v>
      </c>
      <c r="J18" s="146">
        <v>15579</v>
      </c>
      <c r="K18" s="147">
        <v>33390</v>
      </c>
      <c r="L18" s="147">
        <v>27311</v>
      </c>
      <c r="M18" s="150">
        <v>23275</v>
      </c>
      <c r="N18" s="147">
        <v>2644</v>
      </c>
      <c r="O18" s="151">
        <v>86</v>
      </c>
      <c r="P18" s="151"/>
      <c r="Q18" s="147"/>
      <c r="R18" s="151"/>
      <c r="S18" s="151"/>
      <c r="T18" s="151"/>
      <c r="U18" s="151"/>
      <c r="V18" s="151"/>
      <c r="W18" s="147"/>
      <c r="X18" s="147"/>
      <c r="Y18" s="147"/>
      <c r="Z18" s="147"/>
      <c r="AA18" s="147"/>
      <c r="AB18" s="147"/>
      <c r="AC18" s="147"/>
      <c r="AD18" s="1093"/>
      <c r="AE18" s="1093"/>
      <c r="AF18" s="1093"/>
      <c r="AG18" s="558">
        <f t="shared" ref="AG18:AG20" si="5">SUM(H18:AF18)</f>
        <v>122674</v>
      </c>
      <c r="AH18" s="90"/>
      <c r="AI18" s="90"/>
      <c r="AJ18" s="90"/>
      <c r="AK18" s="90"/>
      <c r="AL18" s="90"/>
      <c r="AM18" s="91"/>
      <c r="AN18" s="92"/>
      <c r="AO18" s="91"/>
    </row>
    <row r="19" spans="1:63" s="72" customFormat="1" ht="14.25" x14ac:dyDescent="0.2">
      <c r="A19" s="145">
        <f>A18+1</f>
        <v>4</v>
      </c>
      <c r="B19" s="146" t="s">
        <v>160</v>
      </c>
      <c r="C19" s="147"/>
      <c r="D19" s="147"/>
      <c r="E19" s="147"/>
      <c r="F19" s="147"/>
      <c r="G19" s="147"/>
      <c r="H19" s="147">
        <v>7624.65</v>
      </c>
      <c r="I19" s="163">
        <v>0</v>
      </c>
      <c r="J19" s="147">
        <v>17141.78</v>
      </c>
      <c r="K19" s="147">
        <v>5738.37</v>
      </c>
      <c r="L19" s="147">
        <v>2322</v>
      </c>
      <c r="M19" s="150">
        <v>2992</v>
      </c>
      <c r="N19" s="147">
        <v>472</v>
      </c>
      <c r="O19" s="151">
        <v>281</v>
      </c>
      <c r="P19" s="151"/>
      <c r="Q19" s="147"/>
      <c r="R19" s="151"/>
      <c r="S19" s="151"/>
      <c r="T19" s="151"/>
      <c r="U19" s="151"/>
      <c r="V19" s="151"/>
      <c r="W19" s="147"/>
      <c r="X19" s="147"/>
      <c r="Y19" s="147"/>
      <c r="Z19" s="147"/>
      <c r="AA19" s="147"/>
      <c r="AB19" s="147"/>
      <c r="AC19" s="147"/>
      <c r="AD19" s="1093"/>
      <c r="AE19" s="1093"/>
      <c r="AF19" s="1093"/>
      <c r="AG19" s="558">
        <f t="shared" si="5"/>
        <v>36571.800000000003</v>
      </c>
      <c r="AH19" s="90"/>
      <c r="AI19" s="91"/>
      <c r="AJ19" s="91"/>
      <c r="AK19" s="91"/>
      <c r="AL19" s="91"/>
      <c r="AM19" s="91"/>
      <c r="AN19" s="92"/>
      <c r="AO19" s="91"/>
    </row>
    <row r="20" spans="1:63" s="72" customFormat="1" ht="15" thickBot="1" x14ac:dyDescent="0.25">
      <c r="A20" s="152">
        <f>A19+1</f>
        <v>5</v>
      </c>
      <c r="B20" s="153" t="s">
        <v>161</v>
      </c>
      <c r="C20" s="154"/>
      <c r="D20" s="154"/>
      <c r="E20" s="154"/>
      <c r="F20" s="154"/>
      <c r="G20" s="154"/>
      <c r="H20" s="154"/>
      <c r="I20" s="164"/>
      <c r="J20" s="156"/>
      <c r="K20" s="156">
        <v>7026.9</v>
      </c>
      <c r="L20" s="154">
        <v>1684.9</v>
      </c>
      <c r="M20" s="155">
        <v>423</v>
      </c>
      <c r="N20" s="154"/>
      <c r="O20" s="156">
        <v>10</v>
      </c>
      <c r="P20" s="156"/>
      <c r="Q20" s="154"/>
      <c r="R20" s="156"/>
      <c r="S20" s="156"/>
      <c r="T20" s="156"/>
      <c r="U20" s="156"/>
      <c r="V20" s="156"/>
      <c r="W20" s="154"/>
      <c r="X20" s="154"/>
      <c r="Y20" s="154"/>
      <c r="Z20" s="154"/>
      <c r="AA20" s="154"/>
      <c r="AB20" s="154"/>
      <c r="AC20" s="154"/>
      <c r="AD20" s="1094"/>
      <c r="AE20" s="1094"/>
      <c r="AF20" s="1094"/>
      <c r="AG20" s="558">
        <f t="shared" si="5"/>
        <v>9144.7999999999993</v>
      </c>
      <c r="AH20" s="90"/>
      <c r="AI20" s="91"/>
      <c r="AJ20" s="91"/>
      <c r="AK20" s="91"/>
      <c r="AL20" s="91"/>
      <c r="AM20" s="91"/>
      <c r="AN20" s="91"/>
      <c r="AO20" s="91"/>
    </row>
    <row r="21" spans="1:63" s="72" customFormat="1" ht="15" thickBot="1" x14ac:dyDescent="0.25">
      <c r="A21" s="1413" t="s">
        <v>0</v>
      </c>
      <c r="B21" s="1414"/>
      <c r="C21" s="1415">
        <f t="shared" ref="C21:Y21" si="6">SUM(C16:C20)</f>
        <v>86948</v>
      </c>
      <c r="D21" s="1415">
        <f t="shared" si="6"/>
        <v>63737</v>
      </c>
      <c r="E21" s="1415">
        <f t="shared" si="6"/>
        <v>18344</v>
      </c>
      <c r="F21" s="1415">
        <f t="shared" si="6"/>
        <v>13229</v>
      </c>
      <c r="G21" s="1415">
        <f t="shared" si="6"/>
        <v>336</v>
      </c>
      <c r="H21" s="1415">
        <f t="shared" si="6"/>
        <v>11412.65</v>
      </c>
      <c r="I21" s="1415">
        <f t="shared" si="6"/>
        <v>16601</v>
      </c>
      <c r="J21" s="1415">
        <f t="shared" si="6"/>
        <v>32720.78</v>
      </c>
      <c r="K21" s="1415">
        <f t="shared" si="6"/>
        <v>46155.270000000004</v>
      </c>
      <c r="L21" s="1415">
        <f t="shared" si="6"/>
        <v>31317.9</v>
      </c>
      <c r="M21" s="1415">
        <f t="shared" si="6"/>
        <v>26690</v>
      </c>
      <c r="N21" s="1415">
        <f t="shared" si="6"/>
        <v>3116</v>
      </c>
      <c r="O21" s="1415">
        <f t="shared" si="6"/>
        <v>377</v>
      </c>
      <c r="P21" s="1415">
        <f t="shared" si="6"/>
        <v>0</v>
      </c>
      <c r="Q21" s="1415">
        <f t="shared" si="6"/>
        <v>0</v>
      </c>
      <c r="R21" s="1415">
        <f t="shared" si="6"/>
        <v>0</v>
      </c>
      <c r="S21" s="1415">
        <f t="shared" si="6"/>
        <v>0</v>
      </c>
      <c r="T21" s="1415">
        <f t="shared" si="6"/>
        <v>0</v>
      </c>
      <c r="U21" s="1415">
        <f t="shared" si="6"/>
        <v>0</v>
      </c>
      <c r="V21" s="1415">
        <f t="shared" si="6"/>
        <v>0</v>
      </c>
      <c r="W21" s="1415">
        <f t="shared" si="6"/>
        <v>0</v>
      </c>
      <c r="X21" s="1415">
        <f t="shared" si="6"/>
        <v>0</v>
      </c>
      <c r="Y21" s="1415">
        <f t="shared" si="6"/>
        <v>0</v>
      </c>
      <c r="Z21" s="1415">
        <f t="shared" ref="Z21:AG21" si="7">SUM(Z16:Z20)</f>
        <v>0</v>
      </c>
      <c r="AA21" s="1415">
        <f t="shared" si="7"/>
        <v>0</v>
      </c>
      <c r="AB21" s="1415">
        <f t="shared" si="7"/>
        <v>0</v>
      </c>
      <c r="AC21" s="1415">
        <f t="shared" si="7"/>
        <v>0</v>
      </c>
      <c r="AD21" s="1415">
        <f t="shared" si="7"/>
        <v>0</v>
      </c>
      <c r="AE21" s="1415">
        <f t="shared" si="7"/>
        <v>0</v>
      </c>
      <c r="AF21" s="1415">
        <f t="shared" si="7"/>
        <v>0</v>
      </c>
      <c r="AG21" s="1416">
        <f t="shared" si="7"/>
        <v>168390.59999999998</v>
      </c>
      <c r="AH21" s="90"/>
      <c r="AI21" s="91"/>
      <c r="AJ21" s="91"/>
      <c r="AK21" s="91"/>
      <c r="AL21" s="91"/>
      <c r="AM21" s="91"/>
      <c r="AN21" s="92"/>
      <c r="AO21" s="91"/>
    </row>
    <row r="22" spans="1:63" s="72" customFormat="1" ht="15" thickBot="1" x14ac:dyDescent="0.25">
      <c r="A22" s="101"/>
      <c r="B22" s="101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4"/>
      <c r="AH22" s="90"/>
      <c r="AI22" s="91"/>
      <c r="AJ22" s="91"/>
      <c r="AK22" s="91"/>
      <c r="AL22" s="91"/>
      <c r="AM22" s="91"/>
      <c r="AN22" s="92"/>
      <c r="AO22" s="91"/>
    </row>
    <row r="23" spans="1:63" s="72" customFormat="1" ht="15.75" thickBot="1" x14ac:dyDescent="0.25">
      <c r="A23" s="1213" t="s">
        <v>117</v>
      </c>
      <c r="B23" s="1214" t="s">
        <v>139</v>
      </c>
      <c r="C23" s="1222"/>
      <c r="D23" s="1223"/>
      <c r="E23" s="1223"/>
      <c r="F23" s="1223"/>
      <c r="G23" s="1223"/>
      <c r="H23" s="1223">
        <v>1995</v>
      </c>
      <c r="I23" s="1223">
        <v>1996</v>
      </c>
      <c r="J23" s="1223">
        <v>1997</v>
      </c>
      <c r="K23" s="1223">
        <v>1998</v>
      </c>
      <c r="L23" s="1223">
        <v>1999</v>
      </c>
      <c r="M23" s="1222">
        <v>2000</v>
      </c>
      <c r="N23" s="1222">
        <v>2001</v>
      </c>
      <c r="O23" s="1222">
        <v>2002</v>
      </c>
      <c r="P23" s="1222">
        <v>2003</v>
      </c>
      <c r="Q23" s="1222">
        <v>2004</v>
      </c>
      <c r="R23" s="1222">
        <v>2005</v>
      </c>
      <c r="S23" s="1222">
        <v>2006</v>
      </c>
      <c r="T23" s="1222">
        <v>2007</v>
      </c>
      <c r="U23" s="1222">
        <v>2008</v>
      </c>
      <c r="V23" s="1224">
        <v>2009</v>
      </c>
      <c r="W23" s="1222">
        <v>2010</v>
      </c>
      <c r="X23" s="1222">
        <v>2011</v>
      </c>
      <c r="Y23" s="1223">
        <v>2012</v>
      </c>
      <c r="Z23" s="1223">
        <v>2013</v>
      </c>
      <c r="AA23" s="1223">
        <v>2014</v>
      </c>
      <c r="AB23" s="1223">
        <v>2015</v>
      </c>
      <c r="AC23" s="1223">
        <v>2016</v>
      </c>
      <c r="AD23" s="1223">
        <v>2017</v>
      </c>
      <c r="AE23" s="1223">
        <v>2018</v>
      </c>
      <c r="AF23" s="1223">
        <v>2019</v>
      </c>
      <c r="AG23" s="1225" t="s">
        <v>0</v>
      </c>
      <c r="AH23" s="91"/>
      <c r="AI23" s="91"/>
      <c r="AJ23" s="91"/>
      <c r="AK23" s="91"/>
      <c r="AL23" s="91"/>
      <c r="AM23" s="91"/>
      <c r="AN23" s="92"/>
      <c r="AO23" s="91"/>
    </row>
    <row r="24" spans="1:63" s="72" customFormat="1" ht="14.25" x14ac:dyDescent="0.2">
      <c r="A24" s="140">
        <v>1</v>
      </c>
      <c r="B24" s="141" t="s">
        <v>162</v>
      </c>
      <c r="C24" s="142">
        <v>339</v>
      </c>
      <c r="D24" s="142">
        <v>511</v>
      </c>
      <c r="E24" s="142">
        <v>15819</v>
      </c>
      <c r="F24" s="142">
        <v>10907</v>
      </c>
      <c r="G24" s="142">
        <v>1204.8900000000001</v>
      </c>
      <c r="H24" s="142">
        <v>676.69</v>
      </c>
      <c r="I24" s="143">
        <v>9951.74</v>
      </c>
      <c r="J24" s="143">
        <v>5901.74</v>
      </c>
      <c r="K24" s="143">
        <v>9297.98</v>
      </c>
      <c r="L24" s="142">
        <v>8135.25</v>
      </c>
      <c r="M24" s="144">
        <v>2339</v>
      </c>
      <c r="N24" s="142">
        <v>7706.03</v>
      </c>
      <c r="O24" s="142">
        <v>2338</v>
      </c>
      <c r="P24" s="143"/>
      <c r="Q24" s="142">
        <v>850.82</v>
      </c>
      <c r="R24" s="143">
        <v>2311.5</v>
      </c>
      <c r="S24" s="143">
        <v>4561.68</v>
      </c>
      <c r="T24" s="143">
        <v>6537.71</v>
      </c>
      <c r="U24" s="143">
        <v>16874</v>
      </c>
      <c r="V24" s="143">
        <v>29915</v>
      </c>
      <c r="W24" s="142">
        <v>9637</v>
      </c>
      <c r="X24" s="142">
        <v>3499</v>
      </c>
      <c r="Y24" s="142"/>
      <c r="Z24" s="142">
        <v>19210</v>
      </c>
      <c r="AA24" s="142"/>
      <c r="AB24" s="142"/>
      <c r="AC24" s="142"/>
      <c r="AD24" s="142"/>
      <c r="AE24" s="142">
        <v>12746.578352987646</v>
      </c>
      <c r="AF24" s="142">
        <v>27869.586228200445</v>
      </c>
      <c r="AG24" s="557">
        <f>SUM(H24:AF24)</f>
        <v>180359.30458118807</v>
      </c>
      <c r="AH24" s="90"/>
      <c r="AI24" s="91"/>
      <c r="AJ24" s="91"/>
      <c r="AK24" s="91"/>
      <c r="AL24" s="91"/>
      <c r="AM24" s="91"/>
      <c r="AN24" s="92"/>
      <c r="AO24" s="91"/>
    </row>
    <row r="25" spans="1:63" s="72" customFormat="1" ht="14.25" x14ac:dyDescent="0.2">
      <c r="A25" s="145">
        <v>2</v>
      </c>
      <c r="B25" s="146" t="s">
        <v>163</v>
      </c>
      <c r="C25" s="147"/>
      <c r="D25" s="147"/>
      <c r="E25" s="147"/>
      <c r="F25" s="147"/>
      <c r="G25" s="147"/>
      <c r="H25" s="147"/>
      <c r="I25" s="151"/>
      <c r="J25" s="151"/>
      <c r="K25" s="151"/>
      <c r="L25" s="147"/>
      <c r="M25" s="150">
        <v>1161</v>
      </c>
      <c r="N25" s="147">
        <v>15.61</v>
      </c>
      <c r="O25" s="147">
        <v>482</v>
      </c>
      <c r="P25" s="151">
        <v>1207.8</v>
      </c>
      <c r="Q25" s="147">
        <v>204.39</v>
      </c>
      <c r="R25" s="151">
        <v>1279.82</v>
      </c>
      <c r="S25" s="151">
        <v>1214.73</v>
      </c>
      <c r="T25" s="151"/>
      <c r="U25" s="151">
        <v>342</v>
      </c>
      <c r="V25" s="151">
        <v>4681</v>
      </c>
      <c r="W25" s="147">
        <v>3427</v>
      </c>
      <c r="X25" s="147">
        <v>2040</v>
      </c>
      <c r="Y25" s="147">
        <v>7329</v>
      </c>
      <c r="Z25" s="147">
        <v>1480</v>
      </c>
      <c r="AA25" s="147"/>
      <c r="AB25" s="147"/>
      <c r="AC25" s="147">
        <v>2500</v>
      </c>
      <c r="AD25" s="1093"/>
      <c r="AE25" s="1093">
        <v>1740.8935595992637</v>
      </c>
      <c r="AF25" s="1093">
        <v>4195.4215827398521</v>
      </c>
      <c r="AG25" s="558">
        <f>SUM(H25:AF25)</f>
        <v>33300.665142339116</v>
      </c>
      <c r="AH25" s="91"/>
      <c r="AI25" s="91"/>
      <c r="AJ25" s="91"/>
      <c r="AK25" s="91"/>
      <c r="AL25" s="91"/>
      <c r="AM25" s="91"/>
      <c r="AN25" s="91"/>
      <c r="AO25" s="91"/>
    </row>
    <row r="26" spans="1:63" s="72" customFormat="1" ht="14.25" x14ac:dyDescent="0.2">
      <c r="A26" s="145">
        <v>3</v>
      </c>
      <c r="B26" s="146" t="s">
        <v>164</v>
      </c>
      <c r="C26" s="147">
        <f>7696-7696</f>
        <v>0</v>
      </c>
      <c r="D26" s="147">
        <f>8013-7879</f>
        <v>134</v>
      </c>
      <c r="E26" s="147">
        <f>7260-4093</f>
        <v>3167</v>
      </c>
      <c r="F26" s="147">
        <f>9798-3906</f>
        <v>5892</v>
      </c>
      <c r="G26" s="147">
        <v>6264.39</v>
      </c>
      <c r="H26" s="147">
        <v>48943.199999999997</v>
      </c>
      <c r="I26" s="151">
        <v>17611.990000000002</v>
      </c>
      <c r="J26" s="151">
        <v>22375.17</v>
      </c>
      <c r="K26" s="147">
        <v>26387.08</v>
      </c>
      <c r="L26" s="147">
        <v>16793.349999999999</v>
      </c>
      <c r="M26" s="150">
        <v>2314</v>
      </c>
      <c r="N26" s="147">
        <v>2541.21</v>
      </c>
      <c r="O26" s="147">
        <v>2628</v>
      </c>
      <c r="P26" s="151">
        <v>2700.14</v>
      </c>
      <c r="Q26" s="147">
        <v>2588</v>
      </c>
      <c r="R26" s="151">
        <v>5481</v>
      </c>
      <c r="S26" s="151">
        <v>3691</v>
      </c>
      <c r="T26" s="151">
        <v>15301</v>
      </c>
      <c r="U26" s="151">
        <v>13048</v>
      </c>
      <c r="V26" s="151">
        <v>7654</v>
      </c>
      <c r="W26" s="147">
        <v>23471</v>
      </c>
      <c r="X26" s="147">
        <v>10435</v>
      </c>
      <c r="Y26" s="147">
        <v>15172</v>
      </c>
      <c r="Z26" s="147">
        <v>20135.100000000002</v>
      </c>
      <c r="AA26" s="147">
        <v>30592.7</v>
      </c>
      <c r="AB26" s="147">
        <v>29594.800000000003</v>
      </c>
      <c r="AC26" s="147">
        <v>30665.200000000001</v>
      </c>
      <c r="AD26" s="1093">
        <v>19913.099999999999</v>
      </c>
      <c r="AE26" s="1093">
        <v>14440.523930075649</v>
      </c>
      <c r="AF26" s="1093">
        <v>16661.817142881126</v>
      </c>
      <c r="AG26" s="558">
        <f t="shared" ref="AG26:AG36" si="8">SUM(H26:AF26)</f>
        <v>401138.38107295672</v>
      </c>
      <c r="AH26" s="90"/>
      <c r="AI26" s="90"/>
      <c r="AJ26" s="90"/>
      <c r="AK26" s="90"/>
      <c r="AL26" s="90"/>
      <c r="AM26" s="90"/>
      <c r="AN26" s="90"/>
      <c r="AO26" s="91"/>
    </row>
    <row r="27" spans="1:63" s="72" customFormat="1" ht="14.25" x14ac:dyDescent="0.2">
      <c r="A27" s="145">
        <v>4</v>
      </c>
      <c r="B27" s="146" t="s">
        <v>165</v>
      </c>
      <c r="C27" s="147">
        <f>7671-1328</f>
        <v>6343</v>
      </c>
      <c r="D27" s="147">
        <f>9110-1432</f>
        <v>7678</v>
      </c>
      <c r="E27" s="147">
        <f>6242-794</f>
        <v>5448</v>
      </c>
      <c r="F27" s="147">
        <f>4983-980</f>
        <v>4003</v>
      </c>
      <c r="G27" s="147">
        <v>1234</v>
      </c>
      <c r="H27" s="147">
        <v>5788</v>
      </c>
      <c r="I27" s="151">
        <v>10318</v>
      </c>
      <c r="J27" s="149"/>
      <c r="K27" s="146"/>
      <c r="L27" s="147"/>
      <c r="M27" s="150"/>
      <c r="N27" s="147"/>
      <c r="O27" s="147"/>
      <c r="P27" s="151"/>
      <c r="Q27" s="147"/>
      <c r="R27" s="151"/>
      <c r="S27" s="151"/>
      <c r="T27" s="151"/>
      <c r="U27" s="151"/>
      <c r="V27" s="151"/>
      <c r="W27" s="147"/>
      <c r="X27" s="147"/>
      <c r="Y27" s="147"/>
      <c r="Z27" s="147"/>
      <c r="AA27" s="147"/>
      <c r="AB27" s="147"/>
      <c r="AC27" s="147"/>
      <c r="AD27" s="1093"/>
      <c r="AE27" s="1093"/>
      <c r="AF27" s="1093"/>
      <c r="AG27" s="558">
        <f t="shared" si="8"/>
        <v>16106</v>
      </c>
      <c r="AH27" s="91"/>
      <c r="AI27" s="91"/>
      <c r="AJ27" s="91"/>
      <c r="AK27" s="91"/>
      <c r="AL27" s="91"/>
      <c r="AM27" s="91"/>
      <c r="AN27" s="91"/>
      <c r="AO27" s="91"/>
    </row>
    <row r="28" spans="1:63" s="72" customFormat="1" ht="14.25" x14ac:dyDescent="0.2">
      <c r="A28" s="145">
        <v>5</v>
      </c>
      <c r="B28" s="146" t="s">
        <v>166</v>
      </c>
      <c r="C28" s="147"/>
      <c r="D28" s="147"/>
      <c r="E28" s="147"/>
      <c r="F28" s="147"/>
      <c r="G28" s="147"/>
      <c r="H28" s="147"/>
      <c r="I28" s="151"/>
      <c r="J28" s="149"/>
      <c r="K28" s="146"/>
      <c r="L28" s="147"/>
      <c r="M28" s="150"/>
      <c r="N28" s="147"/>
      <c r="O28" s="147"/>
      <c r="P28" s="151"/>
      <c r="Q28" s="147"/>
      <c r="R28" s="151"/>
      <c r="S28" s="151"/>
      <c r="T28" s="151"/>
      <c r="U28" s="151"/>
      <c r="V28" s="151"/>
      <c r="W28" s="147"/>
      <c r="X28" s="147">
        <v>156</v>
      </c>
      <c r="Y28" s="147"/>
      <c r="Z28" s="147"/>
      <c r="AA28" s="147"/>
      <c r="AB28" s="147"/>
      <c r="AC28" s="147"/>
      <c r="AD28" s="1093"/>
      <c r="AE28" s="1093"/>
      <c r="AF28" s="1093"/>
      <c r="AG28" s="558">
        <f t="shared" si="8"/>
        <v>156</v>
      </c>
      <c r="AH28" s="91"/>
      <c r="AI28" s="91"/>
      <c r="AJ28" s="91"/>
      <c r="AK28" s="91"/>
      <c r="AL28" s="91"/>
      <c r="AM28" s="91"/>
      <c r="AN28" s="91"/>
      <c r="AO28" s="91"/>
    </row>
    <row r="29" spans="1:63" s="72" customFormat="1" ht="14.25" x14ac:dyDescent="0.2">
      <c r="A29" s="145">
        <v>6</v>
      </c>
      <c r="B29" s="146" t="s">
        <v>167</v>
      </c>
      <c r="C29" s="165"/>
      <c r="D29" s="147"/>
      <c r="E29" s="147"/>
      <c r="F29" s="147"/>
      <c r="G29" s="147"/>
      <c r="H29" s="147"/>
      <c r="I29" s="149"/>
      <c r="J29" s="149"/>
      <c r="K29" s="146"/>
      <c r="L29" s="147">
        <f>3793.009/3.38</f>
        <v>1122.1920118343196</v>
      </c>
      <c r="M29" s="150">
        <v>1363</v>
      </c>
      <c r="N29" s="147">
        <v>558.87</v>
      </c>
      <c r="O29" s="147">
        <v>337</v>
      </c>
      <c r="P29" s="151">
        <v>92.6</v>
      </c>
      <c r="Q29" s="147"/>
      <c r="R29" s="151">
        <v>338</v>
      </c>
      <c r="S29" s="151">
        <v>1272.76</v>
      </c>
      <c r="T29" s="151">
        <v>1531.09</v>
      </c>
      <c r="U29" s="151"/>
      <c r="V29" s="151">
        <v>3804</v>
      </c>
      <c r="W29" s="165">
        <v>2632</v>
      </c>
      <c r="X29" s="165">
        <v>6393</v>
      </c>
      <c r="Y29" s="165"/>
      <c r="Z29" s="165">
        <v>12629</v>
      </c>
      <c r="AA29" s="165"/>
      <c r="AB29" s="165"/>
      <c r="AC29" s="165">
        <v>2600</v>
      </c>
      <c r="AD29" s="1095">
        <v>2755.2273554284257</v>
      </c>
      <c r="AE29" s="1095">
        <v>4065.4594896831791</v>
      </c>
      <c r="AF29" s="1095">
        <v>7102.2493936381779</v>
      </c>
      <c r="AG29" s="558">
        <f t="shared" si="8"/>
        <v>48596.448250584101</v>
      </c>
      <c r="AH29" s="91"/>
      <c r="AI29" s="91"/>
      <c r="AJ29" s="91"/>
      <c r="AK29" s="91"/>
      <c r="AL29" s="91"/>
      <c r="AM29" s="91"/>
      <c r="AN29" s="91"/>
      <c r="AO29" s="91"/>
    </row>
    <row r="30" spans="1:63" s="72" customFormat="1" ht="14.25" x14ac:dyDescent="0.2">
      <c r="A30" s="145">
        <v>7</v>
      </c>
      <c r="B30" s="146" t="s">
        <v>142</v>
      </c>
      <c r="C30" s="147">
        <f>6588-6588</f>
        <v>0</v>
      </c>
      <c r="D30" s="147">
        <f>8756-7723</f>
        <v>1033</v>
      </c>
      <c r="E30" s="147">
        <f>10742-2386</f>
        <v>8356</v>
      </c>
      <c r="F30" s="147">
        <f>9851-2610</f>
        <v>7241</v>
      </c>
      <c r="G30" s="147">
        <v>7337</v>
      </c>
      <c r="H30" s="147">
        <v>11849</v>
      </c>
      <c r="I30" s="147">
        <v>17145</v>
      </c>
      <c r="J30" s="147">
        <v>6522</v>
      </c>
      <c r="K30" s="146"/>
      <c r="L30" s="147"/>
      <c r="M30" s="150"/>
      <c r="N30" s="147"/>
      <c r="O30" s="147">
        <v>3312</v>
      </c>
      <c r="P30" s="151">
        <v>15741</v>
      </c>
      <c r="Q30" s="147">
        <v>13218</v>
      </c>
      <c r="R30" s="151">
        <v>16103</v>
      </c>
      <c r="S30" s="151">
        <v>16699</v>
      </c>
      <c r="T30" s="151">
        <v>10091</v>
      </c>
      <c r="U30" s="151">
        <v>20851</v>
      </c>
      <c r="V30" s="151">
        <v>41043</v>
      </c>
      <c r="W30" s="147">
        <v>33261</v>
      </c>
      <c r="X30" s="147">
        <v>13306</v>
      </c>
      <c r="Y30" s="147">
        <v>13774</v>
      </c>
      <c r="Z30" s="147">
        <v>24315</v>
      </c>
      <c r="AA30" s="147">
        <v>24905.1</v>
      </c>
      <c r="AB30" s="147">
        <v>30005.968164705933</v>
      </c>
      <c r="AC30" s="147">
        <v>28079.3</v>
      </c>
      <c r="AD30" s="1093"/>
      <c r="AE30" s="1093">
        <v>10120.599243383051</v>
      </c>
      <c r="AF30" s="1093">
        <v>7312.0204727751707</v>
      </c>
      <c r="AG30" s="558">
        <f t="shared" si="8"/>
        <v>357652.98788086406</v>
      </c>
      <c r="AH30" s="90"/>
      <c r="AI30" s="90"/>
      <c r="AJ30" s="90"/>
      <c r="AK30" s="91"/>
      <c r="AL30" s="91"/>
      <c r="AM30" s="91"/>
      <c r="AN30" s="91"/>
      <c r="AO30" s="91"/>
    </row>
    <row r="31" spans="1:63" s="72" customFormat="1" ht="15" x14ac:dyDescent="0.2">
      <c r="A31" s="145">
        <v>8</v>
      </c>
      <c r="B31" s="146" t="s">
        <v>152</v>
      </c>
      <c r="C31" s="147">
        <v>63</v>
      </c>
      <c r="D31" s="147">
        <v>12342</v>
      </c>
      <c r="E31" s="147">
        <v>21804</v>
      </c>
      <c r="F31" s="147">
        <v>24126</v>
      </c>
      <c r="G31" s="166"/>
      <c r="H31" s="166"/>
      <c r="I31" s="166"/>
      <c r="J31" s="166"/>
      <c r="K31" s="166"/>
      <c r="L31" s="166"/>
      <c r="M31" s="167"/>
      <c r="N31" s="166"/>
      <c r="O31" s="166"/>
      <c r="P31" s="168"/>
      <c r="Q31" s="166"/>
      <c r="R31" s="151"/>
      <c r="S31" s="151"/>
      <c r="T31" s="151"/>
      <c r="U31" s="151"/>
      <c r="V31" s="151"/>
      <c r="W31" s="147"/>
      <c r="X31" s="147"/>
      <c r="Y31" s="147"/>
      <c r="Z31" s="147"/>
      <c r="AA31" s="147"/>
      <c r="AB31" s="147"/>
      <c r="AC31" s="147"/>
      <c r="AD31" s="1093"/>
      <c r="AE31" s="1093"/>
      <c r="AF31" s="1093"/>
      <c r="AG31" s="558">
        <f t="shared" si="8"/>
        <v>0</v>
      </c>
      <c r="AH31" s="90"/>
      <c r="AI31" s="90"/>
      <c r="AJ31" s="90"/>
      <c r="AK31" s="90"/>
      <c r="AL31" s="90"/>
      <c r="AM31" s="90"/>
      <c r="AN31" s="90"/>
      <c r="AO31" s="90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</row>
    <row r="32" spans="1:63" s="72" customFormat="1" ht="14.25" x14ac:dyDescent="0.2">
      <c r="A32" s="145">
        <v>9</v>
      </c>
      <c r="B32" s="146" t="s">
        <v>143</v>
      </c>
      <c r="C32" s="147">
        <f>2120-2120</f>
        <v>0</v>
      </c>
      <c r="D32" s="147">
        <f>3345-2264</f>
        <v>1081</v>
      </c>
      <c r="E32" s="151">
        <f>8241-1867</f>
        <v>6374</v>
      </c>
      <c r="F32" s="151">
        <f>13496-2413</f>
        <v>11083</v>
      </c>
      <c r="G32" s="151">
        <v>10700</v>
      </c>
      <c r="H32" s="151">
        <v>10705</v>
      </c>
      <c r="I32" s="151">
        <v>12108</v>
      </c>
      <c r="J32" s="151">
        <v>19868</v>
      </c>
      <c r="K32" s="151"/>
      <c r="L32" s="147"/>
      <c r="M32" s="150"/>
      <c r="N32" s="147"/>
      <c r="O32" s="147">
        <v>1744</v>
      </c>
      <c r="P32" s="151">
        <v>2006</v>
      </c>
      <c r="Q32" s="147">
        <v>5355</v>
      </c>
      <c r="R32" s="151">
        <v>6465</v>
      </c>
      <c r="S32" s="151">
        <v>7907</v>
      </c>
      <c r="T32" s="151">
        <v>7547</v>
      </c>
      <c r="U32" s="151">
        <v>9518</v>
      </c>
      <c r="V32" s="151">
        <v>12874</v>
      </c>
      <c r="W32" s="147">
        <v>9313</v>
      </c>
      <c r="X32" s="147">
        <v>6172</v>
      </c>
      <c r="Y32" s="147">
        <v>8784</v>
      </c>
      <c r="Z32" s="147">
        <v>20133</v>
      </c>
      <c r="AA32" s="147">
        <v>3804.1845753962557</v>
      </c>
      <c r="AB32" s="147">
        <v>19443.535526528634</v>
      </c>
      <c r="AC32" s="147">
        <v>6747.255357142858</v>
      </c>
      <c r="AD32" s="1093">
        <v>492.63209619807293</v>
      </c>
      <c r="AE32" s="1093">
        <v>2235.9466130013434</v>
      </c>
      <c r="AF32" s="1093">
        <v>25562.104357693526</v>
      </c>
      <c r="AG32" s="558">
        <f t="shared" si="8"/>
        <v>198784.65852596069</v>
      </c>
      <c r="AH32" s="90"/>
      <c r="AI32" s="90"/>
      <c r="AJ32" s="90"/>
      <c r="AK32" s="90"/>
      <c r="AL32" s="90"/>
      <c r="AM32" s="90"/>
      <c r="AN32" s="90"/>
      <c r="AO32" s="91"/>
    </row>
    <row r="33" spans="1:67" s="72" customFormat="1" ht="14.25" x14ac:dyDescent="0.2">
      <c r="A33" s="145">
        <v>10</v>
      </c>
      <c r="B33" s="146" t="s">
        <v>144</v>
      </c>
      <c r="C33" s="147">
        <f>14046-14046</f>
        <v>0</v>
      </c>
      <c r="D33" s="147">
        <f>15226-15053</f>
        <v>173</v>
      </c>
      <c r="E33" s="147">
        <f>12326-8659</f>
        <v>3667</v>
      </c>
      <c r="F33" s="147">
        <f>12940-6356</f>
        <v>6584</v>
      </c>
      <c r="G33" s="147">
        <v>8134</v>
      </c>
      <c r="H33" s="147">
        <v>2493</v>
      </c>
      <c r="I33" s="151">
        <v>10362</v>
      </c>
      <c r="J33" s="151">
        <v>4692</v>
      </c>
      <c r="K33" s="149"/>
      <c r="L33" s="147"/>
      <c r="M33" s="150"/>
      <c r="N33" s="147"/>
      <c r="O33" s="147">
        <v>5385</v>
      </c>
      <c r="P33" s="151">
        <v>3282</v>
      </c>
      <c r="Q33" s="147">
        <v>5467</v>
      </c>
      <c r="R33" s="151">
        <v>4687</v>
      </c>
      <c r="S33" s="151">
        <v>4789.3999999999996</v>
      </c>
      <c r="T33" s="151">
        <v>5808.1</v>
      </c>
      <c r="U33" s="151">
        <v>6336</v>
      </c>
      <c r="V33" s="169">
        <v>19311</v>
      </c>
      <c r="W33" s="147">
        <v>16366</v>
      </c>
      <c r="X33" s="147">
        <v>10611</v>
      </c>
      <c r="Y33" s="147">
        <v>14356</v>
      </c>
      <c r="Z33" s="147">
        <v>5976</v>
      </c>
      <c r="AA33" s="147">
        <v>7572</v>
      </c>
      <c r="AB33" s="147"/>
      <c r="AC33" s="147">
        <v>9600</v>
      </c>
      <c r="AD33" s="1093">
        <v>1761.5941232583064</v>
      </c>
      <c r="AE33" s="1093">
        <v>5127.3250750901425</v>
      </c>
      <c r="AF33" s="1093">
        <v>10158.913689634355</v>
      </c>
      <c r="AG33" s="558">
        <f t="shared" si="8"/>
        <v>154141.3328879828</v>
      </c>
      <c r="AH33" s="91"/>
      <c r="AI33" s="91"/>
      <c r="AJ33" s="91"/>
      <c r="AK33" s="91"/>
      <c r="AL33" s="91"/>
      <c r="AM33" s="91"/>
      <c r="AN33" s="91"/>
      <c r="AO33" s="91"/>
    </row>
    <row r="34" spans="1:67" s="72" customFormat="1" ht="14.25" x14ac:dyDescent="0.2">
      <c r="A34" s="145">
        <v>11</v>
      </c>
      <c r="B34" s="146" t="s">
        <v>168</v>
      </c>
      <c r="C34" s="147">
        <v>178</v>
      </c>
      <c r="D34" s="147">
        <f>224-209</f>
        <v>15</v>
      </c>
      <c r="E34" s="147">
        <f>1926-580</f>
        <v>1346</v>
      </c>
      <c r="F34" s="147">
        <f>2811-1315</f>
        <v>1496</v>
      </c>
      <c r="G34" s="147">
        <v>1211.3699999999999</v>
      </c>
      <c r="H34" s="147">
        <v>997.86</v>
      </c>
      <c r="I34" s="151">
        <v>3855.56</v>
      </c>
      <c r="J34" s="151">
        <v>2857.4</v>
      </c>
      <c r="K34" s="151">
        <v>1957.31</v>
      </c>
      <c r="L34" s="147">
        <v>1092.5</v>
      </c>
      <c r="M34" s="150">
        <v>1293</v>
      </c>
      <c r="N34" s="147">
        <v>999</v>
      </c>
      <c r="O34" s="147">
        <v>1537</v>
      </c>
      <c r="P34" s="151">
        <v>1279</v>
      </c>
      <c r="Q34" s="147">
        <v>1150</v>
      </c>
      <c r="R34" s="151">
        <v>1360</v>
      </c>
      <c r="S34" s="151">
        <v>2183</v>
      </c>
      <c r="T34" s="151">
        <v>1313</v>
      </c>
      <c r="U34" s="151">
        <v>2135</v>
      </c>
      <c r="V34" s="151">
        <v>3468</v>
      </c>
      <c r="W34" s="147">
        <v>6487</v>
      </c>
      <c r="X34" s="147">
        <v>2448</v>
      </c>
      <c r="Y34" s="147">
        <v>5586</v>
      </c>
      <c r="Z34" s="147">
        <v>1346</v>
      </c>
      <c r="AA34" s="147">
        <v>2045.7</v>
      </c>
      <c r="AB34" s="147"/>
      <c r="AC34" s="147"/>
      <c r="AD34" s="1093"/>
      <c r="AE34" s="1093">
        <v>5313.3455613671285</v>
      </c>
      <c r="AF34" s="1093">
        <v>9499.6331552038082</v>
      </c>
      <c r="AG34" s="558">
        <f t="shared" si="8"/>
        <v>60203.308716570937</v>
      </c>
      <c r="AH34" s="90"/>
      <c r="AI34" s="90"/>
      <c r="AJ34" s="90"/>
      <c r="AK34" s="90"/>
      <c r="AL34" s="90"/>
      <c r="AM34" s="90"/>
      <c r="AN34" s="90"/>
      <c r="AO34" s="90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</row>
    <row r="35" spans="1:67" s="72" customFormat="1" ht="14.25" x14ac:dyDescent="0.2">
      <c r="A35" s="145">
        <v>12</v>
      </c>
      <c r="B35" s="146" t="s">
        <v>169</v>
      </c>
      <c r="C35" s="147">
        <f>3269-3269</f>
        <v>0</v>
      </c>
      <c r="D35" s="147">
        <f>4493-4085</f>
        <v>408</v>
      </c>
      <c r="E35" s="147">
        <f>3437-1343</f>
        <v>2094</v>
      </c>
      <c r="F35" s="147">
        <f>6247-2125</f>
        <v>4122</v>
      </c>
      <c r="G35" s="147">
        <v>4819</v>
      </c>
      <c r="H35" s="147">
        <v>16692</v>
      </c>
      <c r="I35" s="147">
        <v>4796</v>
      </c>
      <c r="J35" s="147">
        <v>1239</v>
      </c>
      <c r="K35" s="146"/>
      <c r="L35" s="147"/>
      <c r="M35" s="150"/>
      <c r="N35" s="147"/>
      <c r="O35" s="147">
        <v>8368</v>
      </c>
      <c r="P35" s="151">
        <v>13385</v>
      </c>
      <c r="Q35" s="147">
        <v>16150</v>
      </c>
      <c r="R35" s="151">
        <v>19008</v>
      </c>
      <c r="S35" s="151">
        <v>15852.33</v>
      </c>
      <c r="T35" s="151">
        <v>13470</v>
      </c>
      <c r="U35" s="151">
        <v>27740</v>
      </c>
      <c r="V35" s="151">
        <v>31438</v>
      </c>
      <c r="W35" s="147">
        <v>25874</v>
      </c>
      <c r="X35" s="147">
        <v>14451</v>
      </c>
      <c r="Y35" s="147">
        <v>11074</v>
      </c>
      <c r="Z35" s="147">
        <v>24005</v>
      </c>
      <c r="AA35" s="147">
        <v>30019.288928571426</v>
      </c>
      <c r="AB35" s="147"/>
      <c r="AC35" s="147">
        <v>19800</v>
      </c>
      <c r="AD35" s="1093">
        <v>4876.1229868021455</v>
      </c>
      <c r="AE35" s="1093">
        <v>3814.615950104926</v>
      </c>
      <c r="AF35" s="1093">
        <v>15073.550400843897</v>
      </c>
      <c r="AG35" s="558">
        <f t="shared" si="8"/>
        <v>317125.9082663224</v>
      </c>
      <c r="AH35" s="90"/>
      <c r="AI35" s="90"/>
      <c r="AJ35" s="90"/>
      <c r="AK35" s="90"/>
      <c r="AL35" s="90"/>
      <c r="AM35" s="90"/>
      <c r="AN35" s="90"/>
      <c r="AO35" s="9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</row>
    <row r="36" spans="1:67" s="72" customFormat="1" ht="14.25" x14ac:dyDescent="0.2">
      <c r="A36" s="145">
        <v>13</v>
      </c>
      <c r="B36" s="146" t="s">
        <v>170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50">
        <v>351</v>
      </c>
      <c r="N36" s="147">
        <v>0</v>
      </c>
      <c r="O36" s="147"/>
      <c r="P36" s="151"/>
      <c r="Q36" s="147"/>
      <c r="R36" s="151"/>
      <c r="S36" s="151">
        <v>135.65</v>
      </c>
      <c r="T36" s="151"/>
      <c r="U36" s="151"/>
      <c r="V36" s="151"/>
      <c r="W36" s="147"/>
      <c r="X36" s="147"/>
      <c r="Y36" s="147"/>
      <c r="Z36" s="147"/>
      <c r="AA36" s="147"/>
      <c r="AB36" s="147"/>
      <c r="AC36" s="147"/>
      <c r="AD36" s="1093"/>
      <c r="AE36" s="1093"/>
      <c r="AF36" s="1093"/>
      <c r="AG36" s="558">
        <f t="shared" si="8"/>
        <v>486.65</v>
      </c>
      <c r="AH36" s="90"/>
      <c r="AI36" s="90"/>
      <c r="AJ36" s="90"/>
      <c r="AK36" s="90"/>
      <c r="AL36" s="90"/>
      <c r="AM36" s="90"/>
      <c r="AN36" s="90"/>
      <c r="AO36" s="90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</row>
    <row r="37" spans="1:67" ht="14.25" x14ac:dyDescent="0.2">
      <c r="A37" s="145">
        <v>14</v>
      </c>
      <c r="B37" s="146" t="s">
        <v>171</v>
      </c>
      <c r="C37" s="147">
        <f>2268-2248</f>
        <v>20</v>
      </c>
      <c r="D37" s="147">
        <f>2642-2410</f>
        <v>232</v>
      </c>
      <c r="E37" s="147">
        <f>7490-1327</f>
        <v>6163</v>
      </c>
      <c r="F37" s="147">
        <f>11250-1154</f>
        <v>10096</v>
      </c>
      <c r="G37" s="147">
        <v>3621.33</v>
      </c>
      <c r="H37" s="147">
        <v>6737.49</v>
      </c>
      <c r="I37" s="147">
        <v>8959.48</v>
      </c>
      <c r="J37" s="147">
        <v>8476.7000000000007</v>
      </c>
      <c r="K37" s="147">
        <v>4454.59</v>
      </c>
      <c r="L37" s="147">
        <v>6931.4579999999996</v>
      </c>
      <c r="M37" s="150">
        <v>7262</v>
      </c>
      <c r="N37" s="147">
        <v>3844.88</v>
      </c>
      <c r="O37" s="147">
        <v>5549</v>
      </c>
      <c r="P37" s="151">
        <v>4033</v>
      </c>
      <c r="Q37" s="147">
        <v>4131</v>
      </c>
      <c r="R37" s="151">
        <v>6606</v>
      </c>
      <c r="S37" s="151">
        <v>8237.0300000000007</v>
      </c>
      <c r="T37" s="151">
        <v>4617</v>
      </c>
      <c r="U37" s="151">
        <v>5525</v>
      </c>
      <c r="V37" s="151">
        <v>6944</v>
      </c>
      <c r="W37" s="147">
        <v>10029</v>
      </c>
      <c r="X37" s="147">
        <v>8867</v>
      </c>
      <c r="Y37" s="147">
        <v>10268</v>
      </c>
      <c r="Z37" s="147">
        <v>14879</v>
      </c>
      <c r="AA37" s="147">
        <v>17302</v>
      </c>
      <c r="AB37" s="147"/>
      <c r="AC37" s="147"/>
      <c r="AD37" s="1093">
        <v>1846.1807331628306</v>
      </c>
      <c r="AE37" s="1093">
        <v>928.76618950238617</v>
      </c>
      <c r="AF37" s="1093">
        <v>22775.14573487348</v>
      </c>
      <c r="AG37" s="558">
        <f>SUM(H37:AF37)</f>
        <v>179203.72065753868</v>
      </c>
      <c r="AH37" s="99"/>
      <c r="AI37" s="99"/>
      <c r="AJ37" s="99"/>
      <c r="AK37" s="99"/>
      <c r="AL37" s="99"/>
      <c r="AM37" s="99"/>
      <c r="AN37" s="99"/>
      <c r="AO37" s="99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</row>
    <row r="38" spans="1:67" ht="15" thickBot="1" x14ac:dyDescent="0.25">
      <c r="A38" s="145">
        <v>15</v>
      </c>
      <c r="B38" s="1424" t="s">
        <v>367</v>
      </c>
      <c r="C38" s="1094"/>
      <c r="D38" s="1094"/>
      <c r="E38" s="1094"/>
      <c r="F38" s="1094"/>
      <c r="G38" s="1094"/>
      <c r="H38" s="1094"/>
      <c r="I38" s="1094"/>
      <c r="J38" s="1094"/>
      <c r="K38" s="1094"/>
      <c r="L38" s="1094"/>
      <c r="M38" s="1425"/>
      <c r="N38" s="1094"/>
      <c r="O38" s="1094"/>
      <c r="P38" s="1426"/>
      <c r="Q38" s="1094"/>
      <c r="R38" s="1426"/>
      <c r="S38" s="1426"/>
      <c r="T38" s="1426"/>
      <c r="U38" s="1426"/>
      <c r="V38" s="1426"/>
      <c r="W38" s="1094"/>
      <c r="X38" s="1094"/>
      <c r="Y38" s="1094"/>
      <c r="Z38" s="1094"/>
      <c r="AA38" s="1094"/>
      <c r="AB38" s="1094"/>
      <c r="AC38" s="1094"/>
      <c r="AD38" s="1094"/>
      <c r="AE38" s="1094"/>
      <c r="AF38" s="1094">
        <v>4045.5850976420002</v>
      </c>
      <c r="AG38" s="1427">
        <f>SUM(H38:AF38)</f>
        <v>4045.5850976420002</v>
      </c>
      <c r="AH38" s="99"/>
      <c r="AI38" s="99"/>
      <c r="AJ38" s="99"/>
      <c r="AK38" s="99"/>
      <c r="AL38" s="99"/>
      <c r="AM38" s="99"/>
      <c r="AN38" s="99"/>
      <c r="AO38" s="99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</row>
    <row r="39" spans="1:67" ht="13.5" thickBot="1" x14ac:dyDescent="0.25">
      <c r="A39" s="1413" t="s">
        <v>0</v>
      </c>
      <c r="B39" s="1414"/>
      <c r="C39" s="1415">
        <f t="shared" ref="C39:AC39" si="9">SUM(C24:C38)</f>
        <v>6943</v>
      </c>
      <c r="D39" s="1415">
        <f t="shared" si="9"/>
        <v>23607</v>
      </c>
      <c r="E39" s="1415">
        <f t="shared" si="9"/>
        <v>74238</v>
      </c>
      <c r="F39" s="1415">
        <f t="shared" si="9"/>
        <v>85550</v>
      </c>
      <c r="G39" s="1415">
        <f t="shared" si="9"/>
        <v>44525.98</v>
      </c>
      <c r="H39" s="1415">
        <f t="shared" si="9"/>
        <v>104882.24000000001</v>
      </c>
      <c r="I39" s="1415">
        <f t="shared" si="9"/>
        <v>95107.77</v>
      </c>
      <c r="J39" s="1415">
        <f t="shared" si="9"/>
        <v>71932.009999999995</v>
      </c>
      <c r="K39" s="1415">
        <f t="shared" si="9"/>
        <v>42096.959999999992</v>
      </c>
      <c r="L39" s="1415">
        <f t="shared" si="9"/>
        <v>34074.750011834316</v>
      </c>
      <c r="M39" s="1415">
        <f t="shared" si="9"/>
        <v>16083</v>
      </c>
      <c r="N39" s="1415">
        <f t="shared" si="9"/>
        <v>15665.599999999999</v>
      </c>
      <c r="O39" s="1415">
        <f t="shared" si="9"/>
        <v>31680</v>
      </c>
      <c r="P39" s="1415">
        <f t="shared" si="9"/>
        <v>43726.54</v>
      </c>
      <c r="Q39" s="1415">
        <f t="shared" si="9"/>
        <v>49114.21</v>
      </c>
      <c r="R39" s="1415">
        <f t="shared" si="9"/>
        <v>63639.32</v>
      </c>
      <c r="S39" s="1415">
        <f t="shared" si="9"/>
        <v>66543.58</v>
      </c>
      <c r="T39" s="1415">
        <f t="shared" si="9"/>
        <v>66215.899999999994</v>
      </c>
      <c r="U39" s="1415">
        <f t="shared" si="9"/>
        <v>102369</v>
      </c>
      <c r="V39" s="1415">
        <f t="shared" si="9"/>
        <v>161132</v>
      </c>
      <c r="W39" s="1415">
        <f t="shared" si="9"/>
        <v>140497</v>
      </c>
      <c r="X39" s="1415">
        <f t="shared" si="9"/>
        <v>78378</v>
      </c>
      <c r="Y39" s="1415">
        <f t="shared" si="9"/>
        <v>86343</v>
      </c>
      <c r="Z39" s="1415">
        <f t="shared" si="9"/>
        <v>144108.1</v>
      </c>
      <c r="AA39" s="1415">
        <f t="shared" si="9"/>
        <v>116240.97350396769</v>
      </c>
      <c r="AB39" s="1415">
        <f t="shared" si="9"/>
        <v>79044.303691234571</v>
      </c>
      <c r="AC39" s="1415">
        <f t="shared" si="9"/>
        <v>99991.755357142858</v>
      </c>
      <c r="AD39" s="1415">
        <f>SUM(AD24:AD38)</f>
        <v>31644.857294849782</v>
      </c>
      <c r="AE39" s="1415">
        <f t="shared" ref="AE39:AG39" si="10">SUM(AE24:AE38)</f>
        <v>60534.053964794723</v>
      </c>
      <c r="AF39" s="1415">
        <f t="shared" si="10"/>
        <v>150256.02725612585</v>
      </c>
      <c r="AG39" s="1415">
        <f t="shared" si="10"/>
        <v>1951300.9510799493</v>
      </c>
      <c r="AH39" s="99"/>
      <c r="AI39" s="99"/>
      <c r="AJ39" s="99"/>
      <c r="AK39" s="99"/>
      <c r="AL39" s="99"/>
      <c r="AM39" s="99"/>
      <c r="AN39" s="99"/>
      <c r="AO39" s="99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</row>
    <row r="40" spans="1:67" ht="14.25" x14ac:dyDescent="0.2">
      <c r="A40" s="171"/>
      <c r="B40" s="101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4"/>
      <c r="AH40" s="99"/>
      <c r="AI40" s="99"/>
      <c r="AJ40" s="99"/>
      <c r="AK40" s="99"/>
      <c r="AL40" s="99"/>
      <c r="AM40" s="99"/>
      <c r="AN40" s="99"/>
      <c r="AO40" s="99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</row>
    <row r="41" spans="1:67" ht="14.25" x14ac:dyDescent="0.2">
      <c r="A41" s="171"/>
      <c r="B41" s="101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4"/>
      <c r="AH41" s="99"/>
      <c r="AI41" s="99"/>
      <c r="AJ41" s="99"/>
      <c r="AK41" s="99"/>
      <c r="AL41" s="99"/>
      <c r="AM41" s="99"/>
      <c r="AN41" s="99"/>
      <c r="AO41" s="99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</row>
    <row r="42" spans="1:67" ht="14.25" x14ac:dyDescent="0.2">
      <c r="A42" s="101"/>
      <c r="B42" s="101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4"/>
      <c r="AH42" s="99"/>
      <c r="AI42" s="99"/>
      <c r="AJ42" s="99"/>
      <c r="AK42" s="99"/>
      <c r="AL42" s="99"/>
      <c r="AM42" s="99"/>
      <c r="AN42" s="99"/>
      <c r="AO42" s="99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</row>
    <row r="43" spans="1:67" ht="21" x14ac:dyDescent="0.25">
      <c r="A43" s="1382" t="s">
        <v>352</v>
      </c>
      <c r="B43" s="1382"/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4"/>
      <c r="AH43" s="99"/>
      <c r="AI43" s="99"/>
      <c r="AJ43" s="99"/>
      <c r="AK43" s="99"/>
      <c r="AL43" s="99"/>
      <c r="AM43" s="99"/>
      <c r="AN43" s="99"/>
      <c r="AO43" s="99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</row>
    <row r="44" spans="1:67" ht="15" thickBot="1" x14ac:dyDescent="0.25">
      <c r="A44" s="101"/>
      <c r="B44" s="101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4"/>
      <c r="AH44" s="99"/>
      <c r="AI44" s="99"/>
      <c r="AJ44" s="99"/>
      <c r="AK44" s="99"/>
      <c r="AL44" s="99"/>
      <c r="AM44" s="99"/>
      <c r="AN44" s="99"/>
      <c r="AO44" s="99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</row>
    <row r="45" spans="1:67" ht="13.5" thickBot="1" x14ac:dyDescent="0.25">
      <c r="A45" s="1228">
        <v>1</v>
      </c>
      <c r="B45" s="1226" t="s">
        <v>253</v>
      </c>
      <c r="C45" s="1227"/>
      <c r="D45" s="95"/>
      <c r="E45" s="95"/>
      <c r="F45" s="95">
        <v>7256</v>
      </c>
      <c r="G45" s="95">
        <v>74409</v>
      </c>
      <c r="H45" s="95">
        <v>74288</v>
      </c>
      <c r="I45" s="95">
        <v>135950</v>
      </c>
      <c r="J45" s="95">
        <v>46558</v>
      </c>
      <c r="K45" s="95">
        <v>51488</v>
      </c>
      <c r="L45" s="95">
        <v>54640</v>
      </c>
      <c r="M45" s="95">
        <v>53411</v>
      </c>
      <c r="N45" s="95">
        <v>45167</v>
      </c>
      <c r="O45" s="95">
        <v>17330</v>
      </c>
      <c r="P45" s="172">
        <v>43427.714</v>
      </c>
      <c r="Q45" s="95">
        <v>39078</v>
      </c>
      <c r="R45" s="172">
        <v>45244</v>
      </c>
      <c r="S45" s="172">
        <v>33953</v>
      </c>
      <c r="T45" s="172">
        <f>85031+4896</f>
        <v>89927</v>
      </c>
      <c r="U45" s="172">
        <v>99487</v>
      </c>
      <c r="V45" s="172">
        <v>184722</v>
      </c>
      <c r="W45" s="172">
        <v>223376</v>
      </c>
      <c r="X45" s="172">
        <v>131275</v>
      </c>
      <c r="Y45" s="95">
        <f>149.881209301822*1000</f>
        <v>149881.209301822</v>
      </c>
      <c r="Z45" s="95">
        <v>149413.53189887735</v>
      </c>
      <c r="AA45" s="95">
        <v>111023.98648648649</v>
      </c>
      <c r="AB45" s="95">
        <v>107149.69696969698</v>
      </c>
      <c r="AC45" s="95">
        <v>69370.544918998523</v>
      </c>
      <c r="AD45" s="555">
        <v>101764.751705972</v>
      </c>
      <c r="AE45" s="555">
        <v>106963.15349612164</v>
      </c>
      <c r="AF45" s="555">
        <v>91252.862507112222</v>
      </c>
      <c r="AG45" s="173">
        <f>SUM(H45:AE45)</f>
        <v>2164888.5887779752</v>
      </c>
      <c r="AH45" s="99"/>
      <c r="AI45" s="99"/>
      <c r="AJ45" s="99"/>
      <c r="AK45" s="99"/>
      <c r="AL45" s="99"/>
      <c r="AM45" s="99"/>
      <c r="AN45" s="99"/>
      <c r="AO45" s="99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</row>
    <row r="46" spans="1:67" ht="15" x14ac:dyDescent="0.2">
      <c r="A46" s="174"/>
      <c r="B46" s="175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99"/>
      <c r="AI46" s="99"/>
      <c r="AJ46" s="99"/>
      <c r="AK46" s="99"/>
      <c r="AL46" s="99"/>
      <c r="AM46" s="99"/>
      <c r="AN46" s="99"/>
      <c r="AO46" s="99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</row>
    <row r="47" spans="1:67" ht="21.75" customHeight="1" thickBot="1" x14ac:dyDescent="0.25">
      <c r="A47" s="101"/>
      <c r="B47" s="101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4"/>
      <c r="AH47" s="99"/>
      <c r="AI47" s="99"/>
      <c r="AJ47" s="99"/>
      <c r="AK47" s="99"/>
      <c r="AL47" s="99"/>
      <c r="AM47" s="99"/>
      <c r="AN47" s="99"/>
      <c r="AO47" s="99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</row>
    <row r="48" spans="1:67" s="851" customFormat="1" ht="25.5" customHeight="1" thickBot="1" x14ac:dyDescent="0.25">
      <c r="A48" s="1420" t="s">
        <v>33</v>
      </c>
      <c r="B48" s="1421"/>
      <c r="C48" s="1422">
        <f>C12+C21+C39+C45</f>
        <v>136599</v>
      </c>
      <c r="D48" s="1422">
        <f>D12+D21+D39+D45</f>
        <v>114859</v>
      </c>
      <c r="E48" s="1422">
        <f>E12+E21+E39+E45</f>
        <v>163753</v>
      </c>
      <c r="F48" s="1422">
        <f>F12+F21+F39+F45</f>
        <v>174408</v>
      </c>
      <c r="G48" s="1422">
        <f>G12+G21+G39+G45</f>
        <v>153798.70800000001</v>
      </c>
      <c r="H48" s="1422">
        <f>H12+H21+H39+H45</f>
        <v>229000.99900000001</v>
      </c>
      <c r="I48" s="1422">
        <f>I12+I21+I39+I45</f>
        <v>312926.20699999999</v>
      </c>
      <c r="J48" s="1422">
        <f>J12+J21+J39+J45</f>
        <v>254447.96600000001</v>
      </c>
      <c r="K48" s="1422">
        <f>K12+K21+K39+K45</f>
        <v>254279.34300000002</v>
      </c>
      <c r="L48" s="1422">
        <f>L12+L21+L39+L45</f>
        <v>256364.5590118343</v>
      </c>
      <c r="M48" s="1422">
        <f>M12+M21+M39+M45</f>
        <v>219400</v>
      </c>
      <c r="N48" s="1422">
        <f>N12+N21+N39+N45</f>
        <v>140225.68</v>
      </c>
      <c r="O48" s="1422">
        <f>O12+O21+O39+O45</f>
        <v>127185</v>
      </c>
      <c r="P48" s="1422">
        <f>P12+P21+P39+P45</f>
        <v>154259.75400000002</v>
      </c>
      <c r="Q48" s="1422">
        <f>Q12+Q21+Q39+Q45</f>
        <v>155193.43</v>
      </c>
      <c r="R48" s="1422">
        <f>R12+R21+R39+R45</f>
        <v>162650.03</v>
      </c>
      <c r="S48" s="1422">
        <f>S12+S21+S39+S45</f>
        <v>129694.5</v>
      </c>
      <c r="T48" s="1422">
        <f>T12+T21+T39+T45</f>
        <v>229642.19999999998</v>
      </c>
      <c r="U48" s="1422">
        <f>U12+U21+U39+U45</f>
        <v>228369</v>
      </c>
      <c r="V48" s="1422">
        <f>V12+V21+V39+V45</f>
        <v>434703</v>
      </c>
      <c r="W48" s="1422">
        <f>W12+W21+W39+W45</f>
        <v>388987</v>
      </c>
      <c r="X48" s="1423">
        <f>X12+X21+X39+X45</f>
        <v>238248.7</v>
      </c>
      <c r="Y48" s="1423">
        <f>Y12+Y21+Y39+Y45</f>
        <v>271504.209301822</v>
      </c>
      <c r="Z48" s="1423">
        <f>Z12+Z21+Z39+Z45</f>
        <v>358736.43189887737</v>
      </c>
      <c r="AA48" s="1423">
        <f>AA12+AA21+AA39+AA45</f>
        <v>289355.47999045422</v>
      </c>
      <c r="AB48" s="1423">
        <f>AB12+AB21+AB39+AB45</f>
        <v>229220.59135058674</v>
      </c>
      <c r="AC48" s="1423">
        <f>AC12+AC21+AC39+AC45</f>
        <v>196344.90070293791</v>
      </c>
      <c r="AD48" s="1423">
        <f>AD12+AD21+AD39+AD45</f>
        <v>153772.71346203599</v>
      </c>
      <c r="AE48" s="1423">
        <f>AE12+AE21+AE39+AE45</f>
        <v>185417.49595934519</v>
      </c>
      <c r="AF48" s="1423">
        <f>AF12+AF21+AF39+AF45</f>
        <v>261257.33849913493</v>
      </c>
      <c r="AG48" s="1423">
        <f>AG12+AG21+AG39+AG45</f>
        <v>5769933.6666699164</v>
      </c>
      <c r="AH48" s="1417"/>
      <c r="AI48" s="1417"/>
      <c r="AJ48" s="1418"/>
      <c r="AK48" s="1419"/>
      <c r="AL48" s="1419"/>
      <c r="AM48" s="1418"/>
      <c r="AN48" s="1417"/>
      <c r="AO48" s="1417"/>
    </row>
    <row r="49" spans="1:67" x14ac:dyDescent="0.2">
      <c r="A49" s="100"/>
      <c r="B49" s="17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179"/>
      <c r="AK49" s="176"/>
      <c r="AL49" s="176"/>
      <c r="AM49" s="179"/>
      <c r="AN49" s="99"/>
      <c r="AO49" s="99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</row>
    <row r="50" spans="1:67" ht="13.5" x14ac:dyDescent="0.2">
      <c r="A50" s="180" t="s">
        <v>172</v>
      </c>
      <c r="B50" s="178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179"/>
      <c r="AK50" s="176"/>
      <c r="AL50" s="176"/>
      <c r="AM50" s="179"/>
      <c r="AN50" s="99"/>
      <c r="AO50" s="99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</row>
    <row r="51" spans="1:67" x14ac:dyDescent="0.2">
      <c r="AJ51" s="177"/>
      <c r="AK51" s="181"/>
      <c r="AL51" s="181"/>
      <c r="AM51" s="177"/>
    </row>
    <row r="52" spans="1:67" x14ac:dyDescent="0.2">
      <c r="B52" s="182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AG52" s="98"/>
      <c r="AH52" s="98"/>
      <c r="AI52" s="98"/>
      <c r="AJ52" s="179"/>
      <c r="AK52" s="177"/>
      <c r="AL52" s="177"/>
      <c r="AM52" s="176"/>
      <c r="AN52" s="98"/>
      <c r="AO52" s="98"/>
    </row>
    <row r="53" spans="1:67" x14ac:dyDescent="0.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AH53" s="99"/>
      <c r="AI53" s="99"/>
      <c r="AJ53" s="179"/>
      <c r="AK53" s="177"/>
      <c r="AL53" s="177"/>
      <c r="AM53" s="183"/>
      <c r="AN53" s="100"/>
      <c r="AO53" s="100"/>
    </row>
    <row r="54" spans="1:67" x14ac:dyDescent="0.2">
      <c r="C54" s="137"/>
      <c r="D54" s="138"/>
      <c r="E54" s="138"/>
      <c r="F54" s="138"/>
      <c r="G54" s="138"/>
      <c r="V54" s="170"/>
      <c r="AG54" s="100"/>
      <c r="AH54" s="100"/>
      <c r="AI54" s="100"/>
      <c r="AJ54" s="183"/>
      <c r="AK54" s="177"/>
      <c r="AL54" s="177"/>
      <c r="AM54" s="183"/>
      <c r="AN54" s="100"/>
      <c r="AO54" s="100"/>
    </row>
    <row r="55" spans="1:67" x14ac:dyDescent="0.2">
      <c r="C55" s="137"/>
      <c r="F55" s="138"/>
      <c r="G55" s="138"/>
      <c r="H55" s="137"/>
      <c r="Y55" s="170"/>
      <c r="AG55" s="100"/>
      <c r="AH55" s="100"/>
      <c r="AI55" s="100"/>
      <c r="AJ55" s="183"/>
      <c r="AK55" s="183"/>
      <c r="AL55" s="183"/>
      <c r="AM55" s="183"/>
      <c r="AN55" s="100"/>
      <c r="AO55" s="100"/>
    </row>
    <row r="56" spans="1:67" x14ac:dyDescent="0.2">
      <c r="C56" s="137"/>
      <c r="AG56" s="100"/>
      <c r="AH56" s="100"/>
      <c r="AI56" s="100"/>
      <c r="AJ56" s="100"/>
      <c r="AK56" s="100"/>
      <c r="AL56" s="100"/>
      <c r="AM56" s="100"/>
      <c r="AN56" s="100"/>
      <c r="AO56" s="100"/>
    </row>
    <row r="57" spans="1:67" ht="14.25" x14ac:dyDescent="0.2">
      <c r="AB57" s="104"/>
      <c r="AC57" s="104"/>
      <c r="AD57" s="104"/>
      <c r="AE57" s="104"/>
      <c r="AF57" s="104"/>
    </row>
  </sheetData>
  <mergeCells count="6">
    <mergeCell ref="A48:B48"/>
    <mergeCell ref="A1:AG1"/>
    <mergeCell ref="A12:B12"/>
    <mergeCell ref="A21:B21"/>
    <mergeCell ref="A39:B39"/>
    <mergeCell ref="A43:V43"/>
  </mergeCells>
  <pageMargins left="0.78740157480314965" right="0.78740157480314965" top="0.59055118110236227" bottom="0.59055118110236227" header="0" footer="0"/>
  <pageSetup paperSize="8" scale="4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75"/>
  <sheetViews>
    <sheetView showGridLines="0" view="pageBreakPreview" topLeftCell="Q1" zoomScale="90" zoomScaleNormal="55" zoomScaleSheetLayoutView="90" workbookViewId="0">
      <selection activeCell="AD6" sqref="AD6"/>
    </sheetView>
  </sheetViews>
  <sheetFormatPr baseColWidth="10" defaultColWidth="11.42578125" defaultRowHeight="12.75" x14ac:dyDescent="0.2"/>
  <cols>
    <col min="1" max="1" width="16.85546875" style="73" customWidth="1"/>
    <col min="2" max="2" width="10" style="73" hidden="1" customWidth="1"/>
    <col min="3" max="6" width="6.5703125" style="73" hidden="1" customWidth="1"/>
    <col min="7" max="7" width="9.28515625" style="73" bestFit="1" customWidth="1"/>
    <col min="8" max="31" width="10.7109375" style="73" customWidth="1"/>
    <col min="32" max="32" width="15.140625" style="73" bestFit="1" customWidth="1"/>
    <col min="33" max="33" width="8.140625" style="876" customWidth="1"/>
    <col min="34" max="34" width="12.85546875" style="876" customWidth="1"/>
    <col min="35" max="36" width="5.7109375" style="876" customWidth="1"/>
    <col min="37" max="37" width="11.42578125" style="210"/>
    <col min="38" max="55" width="11.42578125" style="210" customWidth="1"/>
    <col min="56" max="71" width="11.42578125" style="210"/>
    <col min="72" max="16384" width="11.42578125" style="73"/>
  </cols>
  <sheetData>
    <row r="1" spans="1:62" ht="18" x14ac:dyDescent="0.25">
      <c r="A1" s="1382" t="s">
        <v>362</v>
      </c>
      <c r="B1" s="1382"/>
      <c r="C1" s="1382"/>
      <c r="D1" s="1382"/>
      <c r="E1" s="1382"/>
      <c r="F1" s="1382"/>
      <c r="G1" s="1382"/>
      <c r="H1" s="1382"/>
      <c r="I1" s="1382"/>
      <c r="J1" s="1382"/>
      <c r="K1" s="1382"/>
      <c r="L1" s="1382"/>
      <c r="M1" s="1382"/>
      <c r="N1" s="1382"/>
      <c r="O1" s="1382"/>
      <c r="P1" s="1382"/>
      <c r="Q1" s="1382"/>
      <c r="R1" s="1382"/>
      <c r="S1" s="1382"/>
      <c r="T1" s="1382"/>
      <c r="U1" s="1382"/>
      <c r="V1" s="1382"/>
      <c r="W1" s="1382"/>
      <c r="X1" s="1382"/>
      <c r="Y1" s="1382"/>
      <c r="Z1" s="1382"/>
      <c r="AA1" s="1382"/>
      <c r="AB1" s="1382"/>
      <c r="AC1" s="1382"/>
      <c r="AD1" s="1382"/>
      <c r="AE1" s="1382"/>
      <c r="AF1" s="1382"/>
      <c r="AG1" s="874"/>
      <c r="AH1" s="874"/>
      <c r="AI1" s="874"/>
      <c r="AJ1" s="874"/>
    </row>
    <row r="2" spans="1:62" ht="15.75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874"/>
      <c r="AH2" s="874"/>
      <c r="AI2" s="874"/>
      <c r="AJ2" s="874"/>
    </row>
    <row r="3" spans="1:62" ht="15.75" x14ac:dyDescent="0.25">
      <c r="A3" s="855" t="s">
        <v>257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874"/>
      <c r="AH3" s="874"/>
      <c r="AI3" s="874"/>
      <c r="AJ3" s="874"/>
    </row>
    <row r="4" spans="1:62" ht="15.75" x14ac:dyDescent="0.2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874"/>
      <c r="AH4" s="874"/>
      <c r="AI4" s="874"/>
      <c r="AJ4" s="874"/>
    </row>
    <row r="5" spans="1:62" x14ac:dyDescent="0.2">
      <c r="A5" s="1383" t="s">
        <v>174</v>
      </c>
      <c r="B5" s="332">
        <v>1990</v>
      </c>
      <c r="C5" s="332">
        <v>1991</v>
      </c>
      <c r="D5" s="332">
        <v>1992</v>
      </c>
      <c r="E5" s="332">
        <v>1993</v>
      </c>
      <c r="F5" s="332">
        <v>1994</v>
      </c>
      <c r="G5" s="1229">
        <v>1995</v>
      </c>
      <c r="H5" s="1229">
        <v>1996</v>
      </c>
      <c r="I5" s="1229">
        <v>1997</v>
      </c>
      <c r="J5" s="1229">
        <v>1998</v>
      </c>
      <c r="K5" s="1229">
        <v>1999</v>
      </c>
      <c r="L5" s="1229">
        <v>2000</v>
      </c>
      <c r="M5" s="1229">
        <v>2001</v>
      </c>
      <c r="N5" s="1229">
        <v>2002</v>
      </c>
      <c r="O5" s="1229">
        <v>2003</v>
      </c>
      <c r="P5" s="1229">
        <v>2004</v>
      </c>
      <c r="Q5" s="1229">
        <v>2005</v>
      </c>
      <c r="R5" s="1229">
        <v>2006</v>
      </c>
      <c r="S5" s="1229">
        <v>2007</v>
      </c>
      <c r="T5" s="1229">
        <v>2008</v>
      </c>
      <c r="U5" s="1229">
        <v>2009</v>
      </c>
      <c r="V5" s="1229">
        <v>2010</v>
      </c>
      <c r="W5" s="1229">
        <v>2011</v>
      </c>
      <c r="X5" s="1229">
        <v>2012</v>
      </c>
      <c r="Y5" s="1229">
        <v>2013</v>
      </c>
      <c r="Z5" s="1229">
        <v>2014</v>
      </c>
      <c r="AA5" s="1229">
        <v>2015</v>
      </c>
      <c r="AB5" s="1229">
        <v>2016</v>
      </c>
      <c r="AC5" s="1229">
        <v>2017</v>
      </c>
      <c r="AD5" s="1229">
        <v>2018</v>
      </c>
      <c r="AE5" s="1230">
        <v>2019</v>
      </c>
      <c r="AF5" s="1232" t="s">
        <v>0</v>
      </c>
      <c r="AG5" s="869"/>
      <c r="AH5" s="869"/>
      <c r="AI5" s="869"/>
      <c r="AJ5" s="869"/>
    </row>
    <row r="6" spans="1:62" x14ac:dyDescent="0.2">
      <c r="A6" s="1384"/>
      <c r="B6" s="186" t="e">
        <f>B13+B14+B15</f>
        <v>#REF!</v>
      </c>
      <c r="C6" s="186" t="e">
        <f t="shared" ref="C6:Y6" si="0">C13+C14+C15</f>
        <v>#REF!</v>
      </c>
      <c r="D6" s="186" t="e">
        <f t="shared" si="0"/>
        <v>#REF!</v>
      </c>
      <c r="E6" s="186">
        <f t="shared" si="0"/>
        <v>174.40799999999999</v>
      </c>
      <c r="F6" s="186">
        <f t="shared" si="0"/>
        <v>214.15259800000001</v>
      </c>
      <c r="G6" s="867">
        <f t="shared" si="0"/>
        <v>295.15262900000005</v>
      </c>
      <c r="H6" s="867">
        <f t="shared" si="0"/>
        <v>508.70337699999999</v>
      </c>
      <c r="I6" s="867">
        <f t="shared" si="0"/>
        <v>593.51688100000001</v>
      </c>
      <c r="J6" s="867">
        <f t="shared" si="0"/>
        <v>612.52143099999989</v>
      </c>
      <c r="K6" s="867">
        <f t="shared" si="0"/>
        <v>763.73022801183424</v>
      </c>
      <c r="L6" s="867">
        <f t="shared" si="0"/>
        <v>652.98900000000003</v>
      </c>
      <c r="M6" s="867">
        <f t="shared" si="0"/>
        <v>336.39697000000001</v>
      </c>
      <c r="N6" s="867">
        <f t="shared" si="0"/>
        <v>247.20600000000002</v>
      </c>
      <c r="O6" s="867">
        <f t="shared" si="0"/>
        <v>226.41186400000001</v>
      </c>
      <c r="P6" s="867">
        <f t="shared" si="0"/>
        <v>320.25719000000004</v>
      </c>
      <c r="Q6" s="867">
        <f t="shared" si="0"/>
        <v>392.53300999999999</v>
      </c>
      <c r="R6" s="867">
        <f t="shared" si="0"/>
        <v>469.89295000000004</v>
      </c>
      <c r="S6" s="867">
        <f t="shared" si="0"/>
        <v>618.15077000000008</v>
      </c>
      <c r="T6" s="867">
        <f t="shared" si="0"/>
        <v>847.57499999999993</v>
      </c>
      <c r="U6" s="867">
        <f t="shared" si="0"/>
        <v>1154.2819999999999</v>
      </c>
      <c r="V6" s="867">
        <f t="shared" si="0"/>
        <v>1367.7389999999998</v>
      </c>
      <c r="W6" s="867">
        <f t="shared" si="0"/>
        <v>1879.9996652000002</v>
      </c>
      <c r="X6" s="867">
        <f t="shared" si="0"/>
        <v>2738.9250697518223</v>
      </c>
      <c r="Y6" s="867">
        <f t="shared" si="0"/>
        <v>2589.0289318988775</v>
      </c>
      <c r="Z6" s="867">
        <f t="shared" ref="Z6:AE6" si="1">Z13+Z14+Z15</f>
        <v>2566.5285523938123</v>
      </c>
      <c r="AA6" s="867">
        <f t="shared" si="1"/>
        <v>2593.4579568204067</v>
      </c>
      <c r="AB6" s="868">
        <f t="shared" si="1"/>
        <v>1798.1615713156471</v>
      </c>
      <c r="AC6" s="868">
        <f t="shared" si="1"/>
        <v>1519.0460996835402</v>
      </c>
      <c r="AD6" s="868">
        <f t="shared" si="1"/>
        <v>766.15949987652607</v>
      </c>
      <c r="AE6" s="868">
        <f t="shared" si="1"/>
        <v>709.63635261285049</v>
      </c>
      <c r="AF6" s="867">
        <f>SUM(G6:AE6)</f>
        <v>26568.001999565313</v>
      </c>
      <c r="AG6" s="870"/>
      <c r="AH6" s="870"/>
      <c r="AI6" s="870"/>
      <c r="AJ6" s="870"/>
    </row>
    <row r="7" spans="1:62" x14ac:dyDescent="0.2">
      <c r="A7" s="73" t="s">
        <v>175</v>
      </c>
    </row>
    <row r="10" spans="1:62" ht="15.75" x14ac:dyDescent="0.25">
      <c r="A10" s="855" t="s">
        <v>258</v>
      </c>
    </row>
    <row r="12" spans="1:62" x14ac:dyDescent="0.2">
      <c r="A12" s="1231" t="s">
        <v>176</v>
      </c>
      <c r="B12" s="1231">
        <v>1990</v>
      </c>
      <c r="C12" s="1231">
        <v>1991</v>
      </c>
      <c r="D12" s="1231">
        <v>1992</v>
      </c>
      <c r="E12" s="1231">
        <v>1993</v>
      </c>
      <c r="F12" s="1231">
        <v>1994</v>
      </c>
      <c r="G12" s="1232">
        <v>1995</v>
      </c>
      <c r="H12" s="1232">
        <v>1996</v>
      </c>
      <c r="I12" s="1232">
        <v>1997</v>
      </c>
      <c r="J12" s="1232">
        <v>1998</v>
      </c>
      <c r="K12" s="1232">
        <v>1999</v>
      </c>
      <c r="L12" s="1232">
        <v>2000</v>
      </c>
      <c r="M12" s="1232">
        <v>2001</v>
      </c>
      <c r="N12" s="1232">
        <v>2002</v>
      </c>
      <c r="O12" s="1232">
        <v>2003</v>
      </c>
      <c r="P12" s="1232">
        <v>2004</v>
      </c>
      <c r="Q12" s="1232">
        <v>2005</v>
      </c>
      <c r="R12" s="1232">
        <v>2006</v>
      </c>
      <c r="S12" s="1232">
        <v>2007</v>
      </c>
      <c r="T12" s="1232">
        <v>2008</v>
      </c>
      <c r="U12" s="1232">
        <v>2009</v>
      </c>
      <c r="V12" s="1232">
        <v>2010</v>
      </c>
      <c r="W12" s="1232">
        <v>2011</v>
      </c>
      <c r="X12" s="1232">
        <v>2012</v>
      </c>
      <c r="Y12" s="1232">
        <v>2013</v>
      </c>
      <c r="Z12" s="1232">
        <v>2014</v>
      </c>
      <c r="AA12" s="1232">
        <v>2015</v>
      </c>
      <c r="AB12" s="1232">
        <v>2016</v>
      </c>
      <c r="AC12" s="1232">
        <v>2017</v>
      </c>
      <c r="AD12" s="1232">
        <v>2018</v>
      </c>
      <c r="AE12" s="1233">
        <v>2019</v>
      </c>
      <c r="AF12" s="1232" t="s">
        <v>0</v>
      </c>
      <c r="AG12" s="869"/>
      <c r="AL12" s="210">
        <f t="shared" ref="AL12:BG12" si="2">G12</f>
        <v>1995</v>
      </c>
      <c r="AM12" s="210">
        <f t="shared" si="2"/>
        <v>1996</v>
      </c>
      <c r="AN12" s="210">
        <f t="shared" si="2"/>
        <v>1997</v>
      </c>
      <c r="AO12" s="210">
        <f t="shared" si="2"/>
        <v>1998</v>
      </c>
      <c r="AP12" s="210">
        <f t="shared" si="2"/>
        <v>1999</v>
      </c>
      <c r="AQ12" s="210">
        <f t="shared" si="2"/>
        <v>2000</v>
      </c>
      <c r="AR12" s="210">
        <f t="shared" si="2"/>
        <v>2001</v>
      </c>
      <c r="AS12" s="210">
        <f t="shared" si="2"/>
        <v>2002</v>
      </c>
      <c r="AT12" s="210">
        <f t="shared" si="2"/>
        <v>2003</v>
      </c>
      <c r="AU12" s="210">
        <f t="shared" si="2"/>
        <v>2004</v>
      </c>
      <c r="AV12" s="210">
        <f t="shared" si="2"/>
        <v>2005</v>
      </c>
      <c r="AW12" s="210">
        <f t="shared" si="2"/>
        <v>2006</v>
      </c>
      <c r="AX12" s="210">
        <f t="shared" si="2"/>
        <v>2007</v>
      </c>
      <c r="AY12" s="210">
        <f t="shared" si="2"/>
        <v>2008</v>
      </c>
      <c r="AZ12" s="210">
        <f t="shared" si="2"/>
        <v>2009</v>
      </c>
      <c r="BA12" s="210">
        <f t="shared" si="2"/>
        <v>2010</v>
      </c>
      <c r="BB12" s="210">
        <f t="shared" si="2"/>
        <v>2011</v>
      </c>
      <c r="BC12" s="210">
        <f t="shared" si="2"/>
        <v>2012</v>
      </c>
      <c r="BD12" s="210">
        <f t="shared" si="2"/>
        <v>2013</v>
      </c>
      <c r="BE12" s="210">
        <f t="shared" si="2"/>
        <v>2014</v>
      </c>
      <c r="BF12" s="210">
        <f t="shared" si="2"/>
        <v>2015</v>
      </c>
      <c r="BG12" s="210">
        <f t="shared" si="2"/>
        <v>2016</v>
      </c>
      <c r="BH12" s="210">
        <v>2017</v>
      </c>
      <c r="BI12" s="210">
        <v>2018</v>
      </c>
      <c r="BJ12" s="210">
        <v>2019</v>
      </c>
    </row>
    <row r="13" spans="1:62" x14ac:dyDescent="0.2">
      <c r="A13" s="187" t="s">
        <v>177</v>
      </c>
      <c r="B13" s="348">
        <v>136.59899999999999</v>
      </c>
      <c r="C13" s="348">
        <v>114.85899999999999</v>
      </c>
      <c r="D13" s="348">
        <v>163.75299999999999</v>
      </c>
      <c r="E13" s="348">
        <v>167.15199999999999</v>
      </c>
      <c r="F13" s="348">
        <v>79.389708000000013</v>
      </c>
      <c r="G13" s="865">
        <v>154.71299900000002</v>
      </c>
      <c r="H13" s="865">
        <v>176.97620699999999</v>
      </c>
      <c r="I13" s="865">
        <v>207.88996600000002</v>
      </c>
      <c r="J13" s="865">
        <v>202.79134300000001</v>
      </c>
      <c r="K13" s="865">
        <v>201.72455901183429</v>
      </c>
      <c r="L13" s="865">
        <v>165.989</v>
      </c>
      <c r="M13" s="865">
        <v>95.058679999999995</v>
      </c>
      <c r="N13" s="865">
        <v>109.855</v>
      </c>
      <c r="O13" s="865">
        <v>110.83204000000001</v>
      </c>
      <c r="P13" s="865">
        <v>116.11542999999999</v>
      </c>
      <c r="Q13" s="865">
        <v>117.40603</v>
      </c>
      <c r="R13" s="865">
        <v>95.741500000000002</v>
      </c>
      <c r="S13" s="865">
        <v>139.71519999999998</v>
      </c>
      <c r="T13" s="865">
        <v>128.88200000000001</v>
      </c>
      <c r="U13" s="865">
        <v>249.98099999999999</v>
      </c>
      <c r="V13" s="865">
        <v>165.61099999999999</v>
      </c>
      <c r="W13" s="865">
        <v>106.97369999999999</v>
      </c>
      <c r="X13" s="865">
        <v>121.623</v>
      </c>
      <c r="Y13" s="865">
        <v>209.32290000000003</v>
      </c>
      <c r="Z13" s="865">
        <v>159.26756419362286</v>
      </c>
      <c r="AA13" s="865">
        <v>122.07089438088974</v>
      </c>
      <c r="AB13" s="866">
        <f>+('10.17.3 y 4 Publica y Gub. '!AC12+'10.17.3 y 4 Publica y Gub. '!AC21+'10.17.3 y 4 Publica y Gub. '!AC39)/1000</f>
        <v>126.97435578393939</v>
      </c>
      <c r="AC13" s="866">
        <f>('10.17.3 y 4 Publica y Gub. '!AD12+'10.17.3 y 4 Publica y Gub. '!AD21+'10.17.3 y 4 Publica y Gub. '!AD39)/1000</f>
        <v>52.007961756063978</v>
      </c>
      <c r="AD13" s="866">
        <f>('10.17.3 y 4 Publica y Gub. '!AE12+'10.17.3 y 4 Publica y Gub. '!AE21+'10.17.3 y 4 Publica y Gub. '!AE39)/1000</f>
        <v>78.45434246322354</v>
      </c>
      <c r="AE13" s="866">
        <f>('10.17.3 y 4 Publica y Gub. '!AF12+'10.17.3 y 4 Publica y Gub. '!AF21+'10.17.3 y 4 Publica y Gub. '!AF39)/1000</f>
        <v>170.00447599202272</v>
      </c>
      <c r="AF13" s="1406">
        <f>SUM(G13:AE13)</f>
        <v>3585.9811485815967</v>
      </c>
      <c r="AK13" s="210" t="s">
        <v>3</v>
      </c>
      <c r="AL13" s="862"/>
      <c r="AM13" s="862"/>
      <c r="AN13" s="862"/>
      <c r="AO13" s="862"/>
      <c r="AP13" s="862"/>
      <c r="AQ13" s="862"/>
      <c r="AR13" s="862"/>
      <c r="AS13" s="862"/>
      <c r="AT13" s="862"/>
      <c r="AU13" s="862"/>
      <c r="AV13" s="862"/>
      <c r="AW13" s="862"/>
      <c r="AX13" s="862"/>
      <c r="AY13" s="862"/>
      <c r="AZ13" s="862"/>
      <c r="BA13" s="862"/>
      <c r="BB13" s="862"/>
      <c r="BC13" s="862"/>
      <c r="BD13" s="862"/>
      <c r="BE13" s="862"/>
      <c r="BF13" s="862"/>
      <c r="BG13" s="862"/>
      <c r="BH13" s="862"/>
      <c r="BI13" s="862"/>
      <c r="BJ13" s="862"/>
    </row>
    <row r="14" spans="1:62" x14ac:dyDescent="0.2">
      <c r="A14" s="187" t="s">
        <v>173</v>
      </c>
      <c r="B14" s="348"/>
      <c r="C14" s="348"/>
      <c r="D14" s="348"/>
      <c r="E14" s="348"/>
      <c r="F14" s="348">
        <v>60.35389</v>
      </c>
      <c r="G14" s="865">
        <v>66.151630000000011</v>
      </c>
      <c r="H14" s="865">
        <v>195.77716999999998</v>
      </c>
      <c r="I14" s="865">
        <v>339.06891500000006</v>
      </c>
      <c r="J14" s="865">
        <v>358.24208799999997</v>
      </c>
      <c r="K14" s="865">
        <v>507.36566899999997</v>
      </c>
      <c r="L14" s="865">
        <v>433.589</v>
      </c>
      <c r="M14" s="865">
        <v>196.17129</v>
      </c>
      <c r="N14" s="865">
        <v>120.021</v>
      </c>
      <c r="O14" s="865">
        <v>72.152110000000008</v>
      </c>
      <c r="P14" s="865">
        <v>165.06376</v>
      </c>
      <c r="Q14" s="865">
        <v>229.88297999999998</v>
      </c>
      <c r="R14" s="865">
        <v>340.19845000000004</v>
      </c>
      <c r="S14" s="865">
        <v>388.50857000000002</v>
      </c>
      <c r="T14" s="865">
        <v>619.20600000000002</v>
      </c>
      <c r="U14" s="865">
        <v>719.57899999999995</v>
      </c>
      <c r="V14" s="865">
        <v>978.75199999999995</v>
      </c>
      <c r="W14" s="865">
        <v>1641.7509652000001</v>
      </c>
      <c r="X14" s="865">
        <v>2467.4208604500004</v>
      </c>
      <c r="Y14" s="865">
        <v>2230.2925</v>
      </c>
      <c r="Z14" s="865">
        <v>2296.2370017137027</v>
      </c>
      <c r="AA14" s="865">
        <v>2364.2373654698199</v>
      </c>
      <c r="AB14" s="866">
        <f>+'10.17.2 Inversion Privada '!AC148/1000</f>
        <v>1601.816670612709</v>
      </c>
      <c r="AC14" s="866">
        <f>'10.17.2 Inversion Privada '!AD148/1000</f>
        <v>1365.2733862215043</v>
      </c>
      <c r="AD14" s="866">
        <f>'10.17.2 Inversion Privada '!AE148/1000</f>
        <v>580.74200391718091</v>
      </c>
      <c r="AE14" s="866">
        <f>'10.17.2 Inversion Privada '!AF148/1000</f>
        <v>448.37901411371553</v>
      </c>
      <c r="AF14" s="1406">
        <f>SUM(G14:AE14)</f>
        <v>20725.879399698631</v>
      </c>
      <c r="AK14" s="210" t="s">
        <v>209</v>
      </c>
      <c r="AL14" s="862">
        <v>66165.63</v>
      </c>
      <c r="AM14" s="862">
        <v>195921.16999999998</v>
      </c>
      <c r="AN14" s="862">
        <v>339735.91500000004</v>
      </c>
      <c r="AO14" s="862">
        <v>358705.08799999999</v>
      </c>
      <c r="AP14" s="862">
        <v>507744.66899999999</v>
      </c>
      <c r="AQ14" s="862">
        <v>437769</v>
      </c>
      <c r="AR14" s="862">
        <v>210829.29</v>
      </c>
      <c r="AS14" s="862">
        <v>132343</v>
      </c>
      <c r="AT14" s="862">
        <v>81123.709999999992</v>
      </c>
      <c r="AU14" s="862">
        <v>168551.96</v>
      </c>
      <c r="AV14" s="862">
        <v>231061.62</v>
      </c>
      <c r="AW14" s="862">
        <v>350459.05</v>
      </c>
      <c r="AX14" s="862">
        <v>399347.57</v>
      </c>
      <c r="AY14" s="862">
        <v>633659</v>
      </c>
      <c r="AZ14" s="862">
        <v>741830</v>
      </c>
      <c r="BA14" s="862">
        <v>978752</v>
      </c>
      <c r="BB14" s="862">
        <v>1641750.9652000002</v>
      </c>
      <c r="BC14" s="862">
        <v>2467429.8604500005</v>
      </c>
      <c r="BD14" s="862">
        <v>2230292.5</v>
      </c>
      <c r="BE14" s="862">
        <v>2296237.0017137029</v>
      </c>
      <c r="BF14" s="862">
        <v>2296237.0017137029</v>
      </c>
      <c r="BG14" s="862">
        <f>+AB14</f>
        <v>1601.816670612709</v>
      </c>
      <c r="BH14" s="862">
        <f>+AC14</f>
        <v>1365.2733862215043</v>
      </c>
      <c r="BI14" s="862">
        <f>+AD14</f>
        <v>580.74200391718091</v>
      </c>
      <c r="BJ14" s="862">
        <f>+AE14</f>
        <v>448.37901411371553</v>
      </c>
    </row>
    <row r="15" spans="1:62" x14ac:dyDescent="0.2">
      <c r="A15" s="187" t="s">
        <v>178</v>
      </c>
      <c r="B15" s="348" t="e">
        <v>#REF!</v>
      </c>
      <c r="C15" s="348" t="e">
        <v>#REF!</v>
      </c>
      <c r="D15" s="348" t="e">
        <v>#REF!</v>
      </c>
      <c r="E15" s="348">
        <v>7.2560000000000002</v>
      </c>
      <c r="F15" s="348">
        <v>74.409000000000006</v>
      </c>
      <c r="G15" s="865">
        <v>74.287999999999997</v>
      </c>
      <c r="H15" s="865">
        <v>135.94999999999999</v>
      </c>
      <c r="I15" s="865">
        <v>46.558</v>
      </c>
      <c r="J15" s="865">
        <v>51.488</v>
      </c>
      <c r="K15" s="865">
        <v>54.64</v>
      </c>
      <c r="L15" s="865">
        <v>53.411000000000001</v>
      </c>
      <c r="M15" s="865">
        <v>45.167000000000002</v>
      </c>
      <c r="N15" s="865">
        <v>17.329999999999998</v>
      </c>
      <c r="O15" s="865">
        <v>43.427714000000002</v>
      </c>
      <c r="P15" s="865">
        <v>39.078000000000003</v>
      </c>
      <c r="Q15" s="865">
        <v>45.244</v>
      </c>
      <c r="R15" s="865">
        <v>33.953000000000003</v>
      </c>
      <c r="S15" s="865">
        <v>89.927000000000007</v>
      </c>
      <c r="T15" s="865">
        <v>99.486999999999995</v>
      </c>
      <c r="U15" s="865">
        <v>184.72200000000001</v>
      </c>
      <c r="V15" s="865">
        <v>223.376</v>
      </c>
      <c r="W15" s="865">
        <v>131.27500000000001</v>
      </c>
      <c r="X15" s="865">
        <v>149.881209301822</v>
      </c>
      <c r="Y15" s="865">
        <v>149.41353189887735</v>
      </c>
      <c r="Z15" s="865">
        <v>111.02398648648649</v>
      </c>
      <c r="AA15" s="865">
        <v>107.14969696969698</v>
      </c>
      <c r="AB15" s="866">
        <f>+'10.17.3 y 4 Publica y Gub. '!AC45/1000</f>
        <v>69.370544918998519</v>
      </c>
      <c r="AC15" s="866">
        <f>'10.17.3 y 4 Publica y Gub. '!AD45/1000</f>
        <v>101.764751705972</v>
      </c>
      <c r="AD15" s="866">
        <f>'10.17.3 y 4 Publica y Gub. '!AE45/1000</f>
        <v>106.96315349612163</v>
      </c>
      <c r="AE15" s="866">
        <f>'10.17.3 y 4 Publica y Gub. '!AF45/1000</f>
        <v>91.252862507112226</v>
      </c>
      <c r="AF15" s="1406">
        <f>SUM(G15:AE15)</f>
        <v>2256.1414512850874</v>
      </c>
      <c r="AL15" s="862"/>
      <c r="AM15" s="862"/>
      <c r="AN15" s="862"/>
      <c r="AO15" s="862"/>
      <c r="AP15" s="862"/>
      <c r="AQ15" s="862"/>
      <c r="AR15" s="862"/>
      <c r="AS15" s="862"/>
      <c r="AT15" s="862"/>
      <c r="AU15" s="862"/>
      <c r="AV15" s="862"/>
      <c r="AW15" s="862"/>
      <c r="AX15" s="862"/>
    </row>
    <row r="16" spans="1:62" x14ac:dyDescent="0.2">
      <c r="A16" s="188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90"/>
      <c r="AG16" s="871"/>
    </row>
    <row r="17" spans="1:62" x14ac:dyDescent="0.2">
      <c r="A17" s="182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2"/>
      <c r="AG17" s="871"/>
    </row>
    <row r="18" spans="1:62" x14ac:dyDescent="0.2">
      <c r="A18" s="182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2"/>
      <c r="AG18" s="871"/>
      <c r="AH18" s="871"/>
      <c r="AI18" s="871"/>
      <c r="AJ18" s="871"/>
    </row>
    <row r="19" spans="1:62" x14ac:dyDescent="0.2">
      <c r="A19" s="182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872"/>
      <c r="AI19" s="872"/>
      <c r="AJ19" s="872"/>
    </row>
    <row r="21" spans="1:62" ht="15" x14ac:dyDescent="0.25">
      <c r="A21" s="1385"/>
      <c r="B21" s="1385"/>
      <c r="C21" s="1385"/>
      <c r="D21" s="1385"/>
      <c r="E21" s="1385"/>
      <c r="F21" s="1385"/>
      <c r="G21" s="1385"/>
      <c r="H21" s="1385"/>
      <c r="I21" s="1385"/>
      <c r="J21" s="1385"/>
      <c r="K21" s="1385"/>
      <c r="L21" s="1385"/>
      <c r="M21" s="1385"/>
      <c r="N21" s="1385"/>
      <c r="O21" s="1385"/>
      <c r="P21" s="1385"/>
      <c r="Q21" s="1385"/>
      <c r="R21" s="1385"/>
      <c r="S21" s="1385"/>
      <c r="T21" s="1385"/>
      <c r="U21" s="1385"/>
      <c r="V21" s="1385"/>
      <c r="W21" s="1385"/>
      <c r="X21" s="1385"/>
      <c r="Y21" s="1385"/>
      <c r="Z21" s="1385"/>
      <c r="AA21" s="1385"/>
      <c r="AB21" s="1385"/>
      <c r="AC21" s="1385"/>
      <c r="AD21" s="1385"/>
      <c r="AE21" s="1385"/>
      <c r="AF21" s="1385"/>
      <c r="AG21" s="873"/>
      <c r="AI21" s="873"/>
      <c r="AJ21" s="873"/>
    </row>
    <row r="22" spans="1:62" ht="15.75" x14ac:dyDescent="0.25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874"/>
      <c r="AH22" s="875"/>
      <c r="AI22" s="874"/>
      <c r="AJ22" s="874"/>
    </row>
    <row r="23" spans="1:62" x14ac:dyDescent="0.2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85"/>
      <c r="AG23" s="869"/>
      <c r="AH23" s="869"/>
      <c r="AI23" s="869"/>
      <c r="AJ23" s="869"/>
    </row>
    <row r="24" spans="1:62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</row>
    <row r="25" spans="1:62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K25" s="210" t="s">
        <v>210</v>
      </c>
    </row>
    <row r="28" spans="1:62" x14ac:dyDescent="0.2">
      <c r="AL28" s="210">
        <v>1995</v>
      </c>
      <c r="AM28" s="210">
        <v>1996</v>
      </c>
      <c r="AN28" s="210">
        <v>1997</v>
      </c>
      <c r="AO28" s="210">
        <v>1998</v>
      </c>
      <c r="AP28" s="210">
        <v>1999</v>
      </c>
      <c r="AQ28" s="210">
        <v>2000</v>
      </c>
      <c r="AR28" s="210">
        <v>2001</v>
      </c>
      <c r="AS28" s="210">
        <v>2002</v>
      </c>
      <c r="AT28" s="210">
        <v>2003</v>
      </c>
      <c r="AU28" s="210">
        <v>2004</v>
      </c>
      <c r="AV28" s="210">
        <v>2005</v>
      </c>
      <c r="AW28" s="210">
        <v>2006</v>
      </c>
      <c r="AX28" s="210">
        <v>2007</v>
      </c>
      <c r="AY28" s="210">
        <v>2008</v>
      </c>
      <c r="AZ28" s="210">
        <v>2009</v>
      </c>
      <c r="BA28" s="210">
        <v>2010</v>
      </c>
      <c r="BB28" s="210">
        <v>2011</v>
      </c>
      <c r="BC28" s="210">
        <v>2012</v>
      </c>
      <c r="BD28" s="210">
        <v>2013</v>
      </c>
      <c r="BE28" s="210">
        <v>2014</v>
      </c>
      <c r="BF28" s="210">
        <v>2015</v>
      </c>
      <c r="BG28" s="210">
        <v>2016</v>
      </c>
      <c r="BH28" s="210">
        <v>2017</v>
      </c>
      <c r="BI28" s="210">
        <v>2018</v>
      </c>
      <c r="BJ28" s="210">
        <v>2019</v>
      </c>
    </row>
    <row r="29" spans="1:62" x14ac:dyDescent="0.2">
      <c r="AK29" s="210" t="s">
        <v>0</v>
      </c>
      <c r="AL29" s="862">
        <v>46.066738999999991</v>
      </c>
      <c r="AM29" s="862">
        <v>163.01889700000001</v>
      </c>
      <c r="AN29" s="862">
        <v>343.44413100000003</v>
      </c>
      <c r="AO29" s="862">
        <v>365.34824100000003</v>
      </c>
      <c r="AP29" s="862">
        <v>417.162328</v>
      </c>
      <c r="AQ29" s="862">
        <v>335.61799999999999</v>
      </c>
      <c r="AR29" s="862">
        <v>109.76317999999999</v>
      </c>
      <c r="AS29" s="862">
        <v>107.84</v>
      </c>
      <c r="AT29" s="862">
        <v>87.16510000000001</v>
      </c>
      <c r="AU29" s="862">
        <v>159.56641999999999</v>
      </c>
      <c r="AV29" s="862">
        <v>193.49135000000001</v>
      </c>
      <c r="AW29" s="862">
        <v>289.57452000000001</v>
      </c>
      <c r="AX29" s="862">
        <v>318.03030000000001</v>
      </c>
      <c r="AY29" s="862">
        <v>483.53</v>
      </c>
      <c r="AZ29" s="862">
        <v>448.38299999999998</v>
      </c>
      <c r="BA29" s="862">
        <v>558.63400000000001</v>
      </c>
      <c r="BB29" s="862">
        <v>1240.7880652000001</v>
      </c>
      <c r="BC29" s="862">
        <v>1781.4186604500001</v>
      </c>
      <c r="BD29" s="862">
        <f t="shared" ref="BD29:BJ29" si="3">+BD30+BD31</f>
        <v>1829.8335</v>
      </c>
      <c r="BE29" s="862">
        <f t="shared" si="3"/>
        <v>1829.2607998337028</v>
      </c>
      <c r="BF29" s="862">
        <f t="shared" si="3"/>
        <v>1829.2607998337028</v>
      </c>
      <c r="BG29" s="862">
        <f t="shared" si="3"/>
        <v>965.84021903074961</v>
      </c>
      <c r="BH29" s="862">
        <f t="shared" si="3"/>
        <v>855.87025410816568</v>
      </c>
      <c r="BI29" s="862">
        <f t="shared" si="3"/>
        <v>270.70298968008819</v>
      </c>
      <c r="BJ29" s="862">
        <f t="shared" si="3"/>
        <v>197.33050129443217</v>
      </c>
    </row>
    <row r="30" spans="1:62" x14ac:dyDescent="0.2">
      <c r="AK30" s="210" t="s">
        <v>173</v>
      </c>
      <c r="AL30" s="862">
        <v>7.6486299999999998</v>
      </c>
      <c r="AM30" s="862">
        <v>97.751459999999994</v>
      </c>
      <c r="AN30" s="862">
        <v>240.20695500000002</v>
      </c>
      <c r="AO30" s="862">
        <v>250.80912799999999</v>
      </c>
      <c r="AP30" s="862">
        <v>280.83041900000001</v>
      </c>
      <c r="AQ30" s="862">
        <v>212.40199999999999</v>
      </c>
      <c r="AR30" s="862">
        <v>33.4861</v>
      </c>
      <c r="AS30" s="862">
        <v>30.042000000000002</v>
      </c>
      <c r="AT30" s="862">
        <v>20.0596</v>
      </c>
      <c r="AU30" s="862">
        <v>92.56519999999999</v>
      </c>
      <c r="AV30" s="862">
        <v>139.72464000000002</v>
      </c>
      <c r="AW30" s="862">
        <v>260.3766</v>
      </c>
      <c r="AX30" s="862">
        <v>244.53100000000001</v>
      </c>
      <c r="AY30" s="862">
        <v>457.017</v>
      </c>
      <c r="AZ30" s="862">
        <v>359.53399999999999</v>
      </c>
      <c r="BA30" s="862">
        <v>533.52</v>
      </c>
      <c r="BB30" s="862">
        <v>1212.1923652</v>
      </c>
      <c r="BC30" s="862">
        <v>1746.1386604500001</v>
      </c>
      <c r="BD30" s="862">
        <v>1764.6187</v>
      </c>
      <c r="BE30" s="862">
        <v>1767.1702798337028</v>
      </c>
      <c r="BF30" s="862">
        <v>1767.1702798337028</v>
      </c>
      <c r="BG30" s="862">
        <f>+'10.17.2 Inversion Privada '!AC102/1000</f>
        <v>938.85761860395303</v>
      </c>
      <c r="BH30" s="862">
        <f>+'10.17.2 Inversion Privada '!AD102/1000</f>
        <v>835.50714964695146</v>
      </c>
      <c r="BI30" s="862">
        <f>+'10.17.2 Inversion Privada '!AE102/1000</f>
        <v>252.78270118165941</v>
      </c>
      <c r="BJ30" s="862">
        <f>+'10.17.2 Inversion Privada '!AF102/1000</f>
        <v>177.58205255853528</v>
      </c>
    </row>
    <row r="31" spans="1:62" x14ac:dyDescent="0.2">
      <c r="AK31" s="210" t="s">
        <v>252</v>
      </c>
      <c r="AL31" s="862">
        <v>38.418108999999994</v>
      </c>
      <c r="AM31" s="862">
        <v>65.267437000000001</v>
      </c>
      <c r="AN31" s="862">
        <v>103.23717600000001</v>
      </c>
      <c r="AO31" s="862">
        <v>114.53911300000001</v>
      </c>
      <c r="AP31" s="862">
        <v>136.331909</v>
      </c>
      <c r="AQ31" s="862">
        <v>123.21599999999999</v>
      </c>
      <c r="AR31" s="862">
        <v>76.277079999999998</v>
      </c>
      <c r="AS31" s="862">
        <v>77.798000000000002</v>
      </c>
      <c r="AT31" s="862">
        <v>67.105500000000006</v>
      </c>
      <c r="AU31" s="862">
        <v>67.001220000000004</v>
      </c>
      <c r="AV31" s="862">
        <v>53.766709999999996</v>
      </c>
      <c r="AW31" s="862">
        <v>29.19792</v>
      </c>
      <c r="AX31" s="862">
        <v>73.499299999999991</v>
      </c>
      <c r="AY31" s="862">
        <v>26.513000000000002</v>
      </c>
      <c r="AZ31" s="862">
        <v>88.849000000000004</v>
      </c>
      <c r="BA31" s="862">
        <v>25.114000000000001</v>
      </c>
      <c r="BB31" s="862">
        <v>28.595700000000001</v>
      </c>
      <c r="BC31" s="862">
        <v>35.28</v>
      </c>
      <c r="BD31" s="862">
        <v>65.214799999999997</v>
      </c>
      <c r="BE31" s="862">
        <v>62.090520000000005</v>
      </c>
      <c r="BF31" s="862">
        <v>62.090520000000005</v>
      </c>
      <c r="BG31" s="862">
        <f>+'10.17.3 y 4 Publica y Gub. '!AC12/1000</f>
        <v>26.982600426796537</v>
      </c>
      <c r="BH31" s="862">
        <f>+'10.17.3 y 4 Publica y Gub. '!AD12/1000</f>
        <v>20.363104461214196</v>
      </c>
      <c r="BI31" s="862">
        <f>+'10.17.3 y 4 Publica y Gub. '!AE12/1000</f>
        <v>17.920288498428814</v>
      </c>
      <c r="BJ31" s="862">
        <f>+'10.17.3 y 4 Publica y Gub. '!AF12/1000</f>
        <v>19.748448735896876</v>
      </c>
    </row>
    <row r="37" spans="37:62" x14ac:dyDescent="0.2">
      <c r="AK37" s="210" t="s">
        <v>208</v>
      </c>
    </row>
    <row r="40" spans="37:62" x14ac:dyDescent="0.2">
      <c r="AL40" s="210">
        <v>1995</v>
      </c>
      <c r="AM40" s="210">
        <v>1996</v>
      </c>
      <c r="AN40" s="210">
        <v>1997</v>
      </c>
      <c r="AO40" s="210">
        <v>1998</v>
      </c>
      <c r="AP40" s="210">
        <v>1999</v>
      </c>
      <c r="AQ40" s="210">
        <v>2000</v>
      </c>
      <c r="AR40" s="210">
        <v>2001</v>
      </c>
      <c r="AS40" s="210">
        <v>2002</v>
      </c>
      <c r="AT40" s="210">
        <v>2003</v>
      </c>
      <c r="AU40" s="210">
        <v>2004</v>
      </c>
      <c r="AV40" s="210">
        <v>2005</v>
      </c>
      <c r="AW40" s="210">
        <v>2006</v>
      </c>
      <c r="AX40" s="210">
        <v>2007</v>
      </c>
      <c r="AY40" s="210">
        <v>2008</v>
      </c>
      <c r="AZ40" s="210">
        <v>2009</v>
      </c>
      <c r="BA40" s="210">
        <v>2010</v>
      </c>
      <c r="BB40" s="210">
        <v>2011</v>
      </c>
      <c r="BC40" s="591">
        <v>2012</v>
      </c>
      <c r="BD40" s="591">
        <v>2013</v>
      </c>
      <c r="BE40" s="591">
        <v>2014</v>
      </c>
      <c r="BF40" s="591">
        <v>2015</v>
      </c>
      <c r="BG40" s="591">
        <v>2016</v>
      </c>
      <c r="BH40" s="591">
        <v>2017</v>
      </c>
      <c r="BI40" s="591">
        <v>2018</v>
      </c>
      <c r="BJ40" s="591">
        <v>2019</v>
      </c>
    </row>
    <row r="41" spans="37:62" x14ac:dyDescent="0.2">
      <c r="AK41" s="210" t="s">
        <v>0</v>
      </c>
      <c r="AL41" s="862" t="e">
        <f t="shared" ref="AL41:BC41" si="4">SUM(AL42:AL43)</f>
        <v>#REF!</v>
      </c>
      <c r="AM41" s="862" t="e">
        <f t="shared" si="4"/>
        <v>#REF!</v>
      </c>
      <c r="AN41" s="862" t="e">
        <f t="shared" si="4"/>
        <v>#REF!</v>
      </c>
      <c r="AO41" s="862">
        <f t="shared" si="4"/>
        <v>59.643270000000001</v>
      </c>
      <c r="AP41" s="862">
        <f t="shared" si="4"/>
        <v>170.80662000000001</v>
      </c>
      <c r="AQ41" s="862">
        <f t="shared" si="4"/>
        <v>128.93899999999999</v>
      </c>
      <c r="AR41" s="862">
        <f t="shared" si="4"/>
        <v>61.743000000000002</v>
      </c>
      <c r="AS41" s="862">
        <f t="shared" si="4"/>
        <v>37.657000000000004</v>
      </c>
      <c r="AT41" s="862">
        <f t="shared" si="4"/>
        <v>12.825610000000001</v>
      </c>
      <c r="AU41" s="862">
        <f t="shared" si="4"/>
        <v>24.365860000000001</v>
      </c>
      <c r="AV41" s="862">
        <f t="shared" si="4"/>
        <v>20.633900000000001</v>
      </c>
      <c r="AW41" s="862">
        <f t="shared" si="4"/>
        <v>16.54345</v>
      </c>
      <c r="AX41" s="862">
        <f t="shared" si="4"/>
        <v>69.635899999999992</v>
      </c>
      <c r="AY41" s="862">
        <f t="shared" si="4"/>
        <v>43.106000000000002</v>
      </c>
      <c r="AZ41" s="862">
        <f t="shared" si="4"/>
        <v>254.363</v>
      </c>
      <c r="BA41" s="862">
        <f t="shared" si="4"/>
        <v>332.55700000000002</v>
      </c>
      <c r="BB41" s="862">
        <f t="shared" si="4"/>
        <v>278.54599999999999</v>
      </c>
      <c r="BC41" s="862">
        <f t="shared" si="4"/>
        <v>470.27</v>
      </c>
      <c r="BD41" s="862">
        <f t="shared" ref="BD41:BJ41" si="5">+BD42</f>
        <v>188.4134</v>
      </c>
      <c r="BE41" s="862">
        <f t="shared" si="5"/>
        <v>244.01244188000001</v>
      </c>
      <c r="BF41" s="862">
        <f t="shared" si="5"/>
        <v>244.01244188000001</v>
      </c>
      <c r="BG41" s="862">
        <f t="shared" si="5"/>
        <v>398.28611609000006</v>
      </c>
      <c r="BH41" s="862">
        <f t="shared" si="5"/>
        <v>269.02376026833315</v>
      </c>
      <c r="BI41" s="862">
        <f t="shared" si="5"/>
        <v>81.554137765000007</v>
      </c>
      <c r="BJ41" s="862">
        <f t="shared" si="5"/>
        <v>152.23425350425475</v>
      </c>
    </row>
    <row r="42" spans="37:62" x14ac:dyDescent="0.2">
      <c r="AK42" s="210" t="s">
        <v>173</v>
      </c>
      <c r="AL42" s="862" t="e">
        <v>#REF!</v>
      </c>
      <c r="AM42" s="862" t="e">
        <v>#REF!</v>
      </c>
      <c r="AN42" s="862" t="e">
        <v>#REF!</v>
      </c>
      <c r="AO42" s="862">
        <v>13.488</v>
      </c>
      <c r="AP42" s="862">
        <v>139.48872</v>
      </c>
      <c r="AQ42" s="862">
        <v>102.249</v>
      </c>
      <c r="AR42" s="862">
        <v>58.627000000000002</v>
      </c>
      <c r="AS42" s="862">
        <v>37.28</v>
      </c>
      <c r="AT42" s="862">
        <v>12.825610000000001</v>
      </c>
      <c r="AU42" s="862">
        <v>24.365860000000001</v>
      </c>
      <c r="AV42" s="862">
        <v>20.633900000000001</v>
      </c>
      <c r="AW42" s="862">
        <v>16.54345</v>
      </c>
      <c r="AX42" s="862">
        <v>69.635899999999992</v>
      </c>
      <c r="AY42" s="862">
        <v>43.106000000000002</v>
      </c>
      <c r="AZ42" s="862">
        <v>254.363</v>
      </c>
      <c r="BA42" s="862">
        <v>332.55700000000002</v>
      </c>
      <c r="BB42" s="862">
        <v>278.54599999999999</v>
      </c>
      <c r="BC42" s="862">
        <v>470.27</v>
      </c>
      <c r="BD42" s="862">
        <v>188.4134</v>
      </c>
      <c r="BE42" s="862">
        <v>244.01244188000001</v>
      </c>
      <c r="BF42" s="862">
        <v>244.01244188000001</v>
      </c>
      <c r="BG42" s="862">
        <f>+'10.17.2 Inversion Privada '!AC128/1000</f>
        <v>398.28611609000006</v>
      </c>
      <c r="BH42" s="862">
        <f>+'10.17.2 Inversion Privada '!AD128/1000</f>
        <v>269.02376026833315</v>
      </c>
      <c r="BI42" s="862">
        <f>+'10.17.2 Inversion Privada '!AE128/1000</f>
        <v>81.554137765000007</v>
      </c>
      <c r="BJ42" s="862">
        <f>+'10.17.2 Inversion Privada '!AF128/1000</f>
        <v>152.23425350425475</v>
      </c>
    </row>
    <row r="43" spans="37:62" x14ac:dyDescent="0.2">
      <c r="AK43" s="210" t="s">
        <v>252</v>
      </c>
      <c r="AL43" s="877">
        <v>11.412649999999999</v>
      </c>
      <c r="AM43" s="877">
        <v>16.600999999999999</v>
      </c>
      <c r="AN43" s="877">
        <v>32.720779999999998</v>
      </c>
      <c r="AO43" s="877">
        <v>46.155270000000002</v>
      </c>
      <c r="AP43" s="877">
        <v>31.317900000000002</v>
      </c>
      <c r="AQ43" s="877">
        <v>26.69</v>
      </c>
      <c r="AR43" s="877">
        <v>3.1160000000000001</v>
      </c>
      <c r="AS43" s="877">
        <v>0.377</v>
      </c>
      <c r="AT43" s="877">
        <v>0</v>
      </c>
      <c r="AU43" s="877">
        <v>0</v>
      </c>
      <c r="AV43" s="877">
        <v>0</v>
      </c>
      <c r="AW43" s="877">
        <v>0</v>
      </c>
      <c r="AX43" s="877">
        <v>0</v>
      </c>
      <c r="AY43" s="877">
        <v>0</v>
      </c>
      <c r="AZ43" s="877">
        <v>0</v>
      </c>
      <c r="BA43" s="877">
        <v>0</v>
      </c>
      <c r="BB43" s="877">
        <v>0</v>
      </c>
      <c r="BC43" s="877">
        <v>0</v>
      </c>
      <c r="BD43" s="877">
        <v>0</v>
      </c>
      <c r="BE43" s="877">
        <v>0</v>
      </c>
      <c r="BF43" s="877">
        <v>0</v>
      </c>
      <c r="BG43" s="877">
        <v>0</v>
      </c>
      <c r="BH43" s="210">
        <v>0</v>
      </c>
      <c r="BI43" s="210">
        <v>0</v>
      </c>
    </row>
    <row r="54" spans="37:62" x14ac:dyDescent="0.2">
      <c r="AK54" s="210" t="s">
        <v>207</v>
      </c>
    </row>
    <row r="57" spans="37:62" x14ac:dyDescent="0.2">
      <c r="AL57" s="210">
        <v>1995</v>
      </c>
      <c r="AM57" s="210">
        <v>1996</v>
      </c>
      <c r="AN57" s="210">
        <v>1997</v>
      </c>
      <c r="AO57" s="210">
        <v>1998</v>
      </c>
      <c r="AP57" s="210">
        <v>1999</v>
      </c>
      <c r="AQ57" s="210">
        <v>2000</v>
      </c>
      <c r="AR57" s="210">
        <v>2001</v>
      </c>
      <c r="AS57" s="210">
        <v>2002</v>
      </c>
      <c r="AT57" s="210">
        <v>2003</v>
      </c>
      <c r="AU57" s="210">
        <v>2004</v>
      </c>
      <c r="AV57" s="210">
        <v>2005</v>
      </c>
      <c r="AW57" s="210">
        <v>2006</v>
      </c>
      <c r="AX57" s="210">
        <v>2007</v>
      </c>
      <c r="AY57" s="210">
        <v>2008</v>
      </c>
      <c r="AZ57" s="210">
        <v>2009</v>
      </c>
      <c r="BA57" s="210">
        <v>2010</v>
      </c>
      <c r="BB57" s="210">
        <v>2011</v>
      </c>
      <c r="BC57" s="591">
        <v>2012</v>
      </c>
      <c r="BD57" s="591">
        <v>2013</v>
      </c>
      <c r="BE57" s="591">
        <v>2014</v>
      </c>
      <c r="BF57" s="591">
        <v>2015</v>
      </c>
      <c r="BG57" s="591">
        <v>2016</v>
      </c>
      <c r="BH57" s="591">
        <v>2017</v>
      </c>
      <c r="BI57" s="591">
        <v>2018</v>
      </c>
      <c r="BJ57" s="591">
        <v>2019</v>
      </c>
    </row>
    <row r="58" spans="37:62" x14ac:dyDescent="0.2">
      <c r="AK58" s="210" t="s">
        <v>0</v>
      </c>
      <c r="AL58" s="862">
        <f t="shared" ref="AL58:BC58" si="6">SUM(AL59:AL60)</f>
        <v>163.39924000000002</v>
      </c>
      <c r="AM58" s="862">
        <f t="shared" si="6"/>
        <v>193.27748</v>
      </c>
      <c r="AN58" s="862">
        <f t="shared" si="6"/>
        <v>171.46096999999997</v>
      </c>
      <c r="AO58" s="862">
        <f t="shared" si="6"/>
        <v>136.50491999999997</v>
      </c>
      <c r="AP58" s="862">
        <f t="shared" si="6"/>
        <v>121.50028001183432</v>
      </c>
      <c r="AQ58" s="862">
        <f t="shared" si="6"/>
        <v>139.20099999999999</v>
      </c>
      <c r="AR58" s="862">
        <f t="shared" si="6"/>
        <v>134.38179</v>
      </c>
      <c r="AS58" s="862">
        <f t="shared" si="6"/>
        <v>96.700999999999993</v>
      </c>
      <c r="AT58" s="862">
        <f t="shared" si="6"/>
        <v>91.965040000000002</v>
      </c>
      <c r="AU58" s="862">
        <f t="shared" si="6"/>
        <v>100.73510999999999</v>
      </c>
      <c r="AV58" s="862">
        <f t="shared" si="6"/>
        <v>134.3424</v>
      </c>
      <c r="AW58" s="862">
        <f t="shared" si="6"/>
        <v>140.08258000000001</v>
      </c>
      <c r="AX58" s="862">
        <f t="shared" si="6"/>
        <v>151.39657</v>
      </c>
      <c r="AY58" s="862">
        <f t="shared" si="6"/>
        <v>235.905</v>
      </c>
      <c r="AZ58" s="862">
        <f t="shared" si="6"/>
        <v>289.065</v>
      </c>
      <c r="BA58" s="862">
        <f t="shared" si="6"/>
        <v>253.17200000000003</v>
      </c>
      <c r="BB58" s="862">
        <f t="shared" si="6"/>
        <v>229.39060000000001</v>
      </c>
      <c r="BC58" s="862">
        <f t="shared" si="6"/>
        <v>337.36420000000004</v>
      </c>
      <c r="BD58" s="862">
        <f t="shared" ref="BD58:BI58" si="7">+BD59+BD60</f>
        <v>421.36850000000004</v>
      </c>
      <c r="BE58" s="862">
        <f t="shared" si="7"/>
        <v>401.29525350396773</v>
      </c>
      <c r="BF58" s="862">
        <f t="shared" si="7"/>
        <v>401.29525350396773</v>
      </c>
      <c r="BG58" s="862">
        <f t="shared" si="7"/>
        <v>364.6646912758988</v>
      </c>
      <c r="BH58" s="862">
        <f t="shared" si="7"/>
        <v>292.38733360106943</v>
      </c>
      <c r="BI58" s="862">
        <f t="shared" si="7"/>
        <v>306.93921893531621</v>
      </c>
      <c r="BJ58" s="862">
        <f t="shared" ref="BJ58" si="8">+BJ59+BJ60</f>
        <v>268.81873530705138</v>
      </c>
    </row>
    <row r="59" spans="37:62" x14ac:dyDescent="0.2">
      <c r="AK59" s="210" t="s">
        <v>173</v>
      </c>
      <c r="AL59" s="862">
        <v>58.517000000000003</v>
      </c>
      <c r="AM59" s="862">
        <v>98.169709999999995</v>
      </c>
      <c r="AN59" s="862">
        <v>99.528959999999998</v>
      </c>
      <c r="AO59" s="862">
        <v>94.407959999999989</v>
      </c>
      <c r="AP59" s="862">
        <v>87.425529999999995</v>
      </c>
      <c r="AQ59" s="862">
        <v>123.11799999999999</v>
      </c>
      <c r="AR59" s="862">
        <v>118.71619</v>
      </c>
      <c r="AS59" s="862">
        <v>65.021000000000001</v>
      </c>
      <c r="AT59" s="862">
        <v>48.238500000000002</v>
      </c>
      <c r="AU59" s="862">
        <v>51.620899999999999</v>
      </c>
      <c r="AV59" s="862">
        <v>70.70308</v>
      </c>
      <c r="AW59" s="862">
        <v>73.539000000000001</v>
      </c>
      <c r="AX59" s="862">
        <v>85.180669999999992</v>
      </c>
      <c r="AY59" s="862">
        <v>133.536</v>
      </c>
      <c r="AZ59" s="862">
        <v>127.93300000000001</v>
      </c>
      <c r="BA59" s="862">
        <v>112.675</v>
      </c>
      <c r="BB59" s="862">
        <v>151.01259999999999</v>
      </c>
      <c r="BC59" s="862">
        <v>251.02120000000002</v>
      </c>
      <c r="BD59" s="862">
        <v>277.2604</v>
      </c>
      <c r="BE59" s="862">
        <v>285.05428000000001</v>
      </c>
      <c r="BF59" s="862">
        <v>285.05428000000001</v>
      </c>
      <c r="BG59" s="862">
        <f>+'10.17.2 Inversion Privada '!AC146/1000</f>
        <v>264.67293591875591</v>
      </c>
      <c r="BH59" s="862">
        <f>+'10.17.2 Inversion Privada '!AD146/1000</f>
        <v>260.74247630621966</v>
      </c>
      <c r="BI59" s="862">
        <f>+'10.17.2 Inversion Privada '!AE146/1000</f>
        <v>246.4051649705215</v>
      </c>
      <c r="BJ59" s="862">
        <f>+'10.17.2 Inversion Privada '!AF146/1000</f>
        <v>118.56270805092555</v>
      </c>
    </row>
    <row r="60" spans="37:62" x14ac:dyDescent="0.2">
      <c r="AK60" s="210" t="s">
        <v>252</v>
      </c>
      <c r="AL60" s="877">
        <v>104.88224000000001</v>
      </c>
      <c r="AM60" s="877">
        <v>95.107770000000002</v>
      </c>
      <c r="AN60" s="877">
        <v>71.932009999999991</v>
      </c>
      <c r="AO60" s="877">
        <v>42.096959999999989</v>
      </c>
      <c r="AP60" s="877">
        <v>34.074750011834318</v>
      </c>
      <c r="AQ60" s="877">
        <v>16.082999999999998</v>
      </c>
      <c r="AR60" s="877">
        <v>15.665599999999998</v>
      </c>
      <c r="AS60" s="877">
        <v>31.68</v>
      </c>
      <c r="AT60" s="877">
        <v>43.72654</v>
      </c>
      <c r="AU60" s="877">
        <v>49.11421</v>
      </c>
      <c r="AV60" s="877">
        <v>63.639319999999998</v>
      </c>
      <c r="AW60" s="877">
        <v>66.543580000000006</v>
      </c>
      <c r="AX60" s="877">
        <v>66.215899999999991</v>
      </c>
      <c r="AY60" s="877">
        <v>102.369</v>
      </c>
      <c r="AZ60" s="877">
        <v>161.13200000000001</v>
      </c>
      <c r="BA60" s="877">
        <v>140.49700000000001</v>
      </c>
      <c r="BB60" s="877">
        <v>78.378</v>
      </c>
      <c r="BC60" s="877">
        <v>86.343000000000004</v>
      </c>
      <c r="BD60" s="877">
        <v>144.10810000000001</v>
      </c>
      <c r="BE60" s="877">
        <v>116.24097350396769</v>
      </c>
      <c r="BF60" s="877">
        <v>116.24097350396769</v>
      </c>
      <c r="BG60" s="877">
        <f>+'10.17.3 y 4 Publica y Gub. '!AC39/1000</f>
        <v>99.991755357142864</v>
      </c>
      <c r="BH60" s="877">
        <f>+'10.17.3 y 4 Publica y Gub. '!AD39/1000</f>
        <v>31.644857294849782</v>
      </c>
      <c r="BI60" s="877">
        <f>+'10.17.3 y 4 Publica y Gub. '!AE39/1000</f>
        <v>60.534053964794722</v>
      </c>
      <c r="BJ60" s="877">
        <f>+'10.17.3 y 4 Publica y Gub. '!AF39/1000</f>
        <v>150.25602725612583</v>
      </c>
    </row>
    <row r="68" spans="39:41" x14ac:dyDescent="0.2">
      <c r="AM68" s="876"/>
      <c r="AN68" s="876"/>
      <c r="AO68" s="876"/>
    </row>
    <row r="69" spans="39:41" x14ac:dyDescent="0.2">
      <c r="AM69" s="876"/>
      <c r="AN69" s="876"/>
      <c r="AO69" s="876"/>
    </row>
    <row r="70" spans="39:41" x14ac:dyDescent="0.2">
      <c r="AM70" s="869"/>
      <c r="AN70" s="869"/>
      <c r="AO70" s="869"/>
    </row>
    <row r="71" spans="39:41" x14ac:dyDescent="0.2">
      <c r="AM71" s="878">
        <f>+AF13/AM74</f>
        <v>0.13497368558765796</v>
      </c>
      <c r="AN71" s="871"/>
      <c r="AO71" s="871"/>
    </row>
    <row r="72" spans="39:41" x14ac:dyDescent="0.2">
      <c r="AM72" s="878">
        <f>+AF14/AM74</f>
        <v>0.78010681420596606</v>
      </c>
      <c r="AN72" s="871"/>
      <c r="AO72" s="871"/>
    </row>
    <row r="73" spans="39:41" x14ac:dyDescent="0.2">
      <c r="AM73" s="878">
        <f>+AF15/AM74</f>
        <v>8.4919500206376106E-2</v>
      </c>
      <c r="AN73" s="871"/>
      <c r="AO73" s="871"/>
    </row>
    <row r="74" spans="39:41" x14ac:dyDescent="0.2">
      <c r="AM74" s="879">
        <f>+SUM(AF13:AF15)</f>
        <v>26568.001999565313</v>
      </c>
      <c r="AN74" s="871"/>
      <c r="AO74" s="871"/>
    </row>
    <row r="75" spans="39:41" x14ac:dyDescent="0.2">
      <c r="AM75" s="871"/>
      <c r="AN75" s="871"/>
      <c r="AO75" s="871"/>
    </row>
  </sheetData>
  <mergeCells count="3">
    <mergeCell ref="A1:AF1"/>
    <mergeCell ref="A5:A6"/>
    <mergeCell ref="A21:AF21"/>
  </mergeCells>
  <printOptions horizontalCentered="1"/>
  <pageMargins left="0.78740157480314965" right="0.78740157480314965" top="0.59055118110236215" bottom="0.59055118110236215" header="0" footer="0"/>
  <pageSetup paperSize="8" scale="65" fitToHeight="0" orientation="landscape" r:id="rId1"/>
  <headerFooter alignWithMargins="0"/>
  <rowBreaks count="2" manualBreakCount="2">
    <brk id="76" max="28" man="1"/>
    <brk id="153" max="25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74"/>
  <sheetViews>
    <sheetView view="pageBreakPreview" zoomScale="90" zoomScaleNormal="110" zoomScaleSheetLayoutView="90" workbookViewId="0">
      <selection activeCell="M49" sqref="M49"/>
    </sheetView>
  </sheetViews>
  <sheetFormatPr baseColWidth="10" defaultColWidth="11.42578125" defaultRowHeight="12.75" x14ac:dyDescent="0.2"/>
  <cols>
    <col min="1" max="7" width="11.42578125" style="73"/>
    <col min="8" max="8" width="14.5703125" style="73" customWidth="1"/>
    <col min="9" max="9" width="15.28515625" style="73" bestFit="1" customWidth="1"/>
    <col min="10" max="10" width="16" style="73" bestFit="1" customWidth="1"/>
    <col min="11" max="12" width="7.85546875" style="73" customWidth="1"/>
    <col min="13" max="14" width="11.42578125" style="73"/>
    <col min="15" max="15" width="11.42578125" style="72"/>
    <col min="16" max="27" width="11.42578125" style="876"/>
    <col min="28" max="46" width="11.42578125" style="876" customWidth="1"/>
    <col min="47" max="56" width="11.42578125" style="210" customWidth="1"/>
    <col min="57" max="60" width="11.42578125" style="876"/>
    <col min="61" max="61" width="17.140625" style="876" customWidth="1"/>
    <col min="62" max="62" width="16.5703125" style="876" customWidth="1"/>
    <col min="63" max="63" width="11.42578125" style="876"/>
    <col min="64" max="64" width="11.42578125" style="72"/>
    <col min="65" max="65" width="11.7109375" style="72" customWidth="1"/>
    <col min="66" max="67" width="14.7109375" style="72" customWidth="1"/>
    <col min="68" max="69" width="8.7109375" style="72" customWidth="1"/>
    <col min="70" max="70" width="11.42578125" style="72"/>
    <col min="71" max="71" width="7.28515625" style="72" customWidth="1"/>
    <col min="72" max="73" width="11.42578125" style="72"/>
    <col min="74" max="16384" width="11.42578125" style="73"/>
  </cols>
  <sheetData>
    <row r="1" spans="1:74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R1" s="900"/>
      <c r="S1" s="900"/>
      <c r="T1" s="900"/>
      <c r="U1" s="900"/>
      <c r="V1" s="900"/>
      <c r="AU1" s="876"/>
      <c r="AV1" s="876"/>
      <c r="AW1" s="876"/>
      <c r="AX1" s="876"/>
      <c r="AY1" s="876"/>
      <c r="AZ1" s="876"/>
      <c r="BA1" s="876"/>
      <c r="BB1" s="876"/>
      <c r="BC1" s="876"/>
      <c r="BD1" s="876"/>
      <c r="BU1" s="70"/>
      <c r="BV1" s="70"/>
    </row>
    <row r="2" spans="1:74" ht="18" x14ac:dyDescent="0.25">
      <c r="A2" s="349" t="s">
        <v>217</v>
      </c>
      <c r="B2" s="70"/>
      <c r="C2" s="70"/>
      <c r="D2" s="70"/>
      <c r="E2" s="70"/>
      <c r="F2" s="70"/>
      <c r="G2" s="70"/>
      <c r="H2" s="70"/>
      <c r="I2" s="70"/>
      <c r="J2" s="72"/>
      <c r="K2" s="72"/>
      <c r="L2" s="72"/>
      <c r="M2" s="72"/>
      <c r="N2" s="72"/>
      <c r="O2" s="70"/>
      <c r="Q2" s="908" t="s">
        <v>355</v>
      </c>
      <c r="R2" s="901"/>
      <c r="S2" s="901"/>
      <c r="T2" s="901"/>
      <c r="U2" s="901"/>
      <c r="V2" s="901"/>
      <c r="AU2" s="876"/>
      <c r="AV2" s="876"/>
      <c r="AW2" s="876"/>
      <c r="AX2" s="876"/>
      <c r="AY2" s="876"/>
      <c r="AZ2" s="876"/>
      <c r="BA2" s="876"/>
      <c r="BB2" s="876"/>
      <c r="BC2" s="876"/>
      <c r="BD2" s="876"/>
      <c r="BU2" s="70"/>
      <c r="BV2" s="70"/>
    </row>
    <row r="3" spans="1:74" x14ac:dyDescent="0.2">
      <c r="A3" s="70"/>
      <c r="B3" s="70"/>
      <c r="C3" s="70"/>
      <c r="D3" s="70"/>
      <c r="E3" s="70"/>
      <c r="F3" s="70"/>
      <c r="G3" s="70"/>
      <c r="H3" s="70"/>
      <c r="I3" s="70"/>
      <c r="J3" s="72"/>
      <c r="K3" s="72"/>
      <c r="L3" s="72"/>
      <c r="M3" s="72"/>
      <c r="N3" s="72"/>
      <c r="O3" s="70"/>
      <c r="AG3" s="909" t="s">
        <v>76</v>
      </c>
      <c r="AK3" s="909" t="s">
        <v>77</v>
      </c>
      <c r="AP3" s="909" t="s">
        <v>78</v>
      </c>
      <c r="AU3" s="876"/>
      <c r="AV3" s="876"/>
      <c r="AW3" s="876"/>
      <c r="AX3" s="876"/>
      <c r="AY3" s="876"/>
      <c r="AZ3" s="876"/>
      <c r="BA3" s="876"/>
      <c r="BB3" s="876"/>
      <c r="BC3" s="876"/>
      <c r="BD3" s="876"/>
      <c r="BU3" s="70"/>
      <c r="BV3" s="70"/>
    </row>
    <row r="4" spans="1:74" x14ac:dyDescent="0.2">
      <c r="A4" s="70"/>
      <c r="B4" s="70"/>
      <c r="C4" s="70"/>
      <c r="D4" s="70"/>
      <c r="E4" s="70"/>
      <c r="F4" s="70"/>
      <c r="G4" s="70"/>
      <c r="H4" s="70"/>
      <c r="I4" s="70"/>
      <c r="J4" s="72"/>
      <c r="K4" s="72"/>
      <c r="L4" s="72"/>
      <c r="M4" s="72"/>
      <c r="N4" s="72"/>
      <c r="O4" s="70"/>
      <c r="R4" s="1386" t="s">
        <v>79</v>
      </c>
      <c r="S4" s="869"/>
      <c r="T4" s="869" t="s">
        <v>80</v>
      </c>
      <c r="U4" s="1386" t="s">
        <v>81</v>
      </c>
      <c r="V4" s="869" t="s">
        <v>80</v>
      </c>
      <c r="W4" s="869" t="s">
        <v>82</v>
      </c>
      <c r="X4" s="869" t="s">
        <v>80</v>
      </c>
      <c r="Y4" s="869"/>
      <c r="Z4" s="869"/>
      <c r="AA4" s="816" t="s">
        <v>80</v>
      </c>
      <c r="AB4" s="816" t="s">
        <v>81</v>
      </c>
      <c r="AC4" s="816" t="s">
        <v>80</v>
      </c>
      <c r="AD4" s="816" t="s">
        <v>82</v>
      </c>
      <c r="AE4" s="816" t="s">
        <v>80</v>
      </c>
      <c r="AF4" s="816" t="s">
        <v>345</v>
      </c>
      <c r="AG4" s="869" t="s">
        <v>83</v>
      </c>
      <c r="AH4" s="869" t="s">
        <v>84</v>
      </c>
      <c r="AI4" s="901" t="s">
        <v>85</v>
      </c>
      <c r="AK4" s="909" t="s">
        <v>86</v>
      </c>
      <c r="AL4" s="909" t="s">
        <v>87</v>
      </c>
      <c r="AM4" s="909" t="s">
        <v>88</v>
      </c>
      <c r="AN4" s="909" t="s">
        <v>84</v>
      </c>
      <c r="AP4" s="869" t="s">
        <v>89</v>
      </c>
      <c r="AQ4" s="869" t="s">
        <v>90</v>
      </c>
      <c r="AR4" s="901" t="s">
        <v>91</v>
      </c>
      <c r="AU4" s="876"/>
      <c r="AV4" s="876"/>
      <c r="AW4" s="876"/>
      <c r="AX4" s="876"/>
      <c r="AY4" s="876"/>
      <c r="AZ4" s="876"/>
      <c r="BA4" s="876"/>
      <c r="BB4" s="876"/>
      <c r="BC4" s="876"/>
      <c r="BD4" s="876"/>
      <c r="BU4" s="70"/>
      <c r="BV4" s="70"/>
    </row>
    <row r="5" spans="1:74" x14ac:dyDescent="0.2">
      <c r="A5" s="70"/>
      <c r="B5" s="70"/>
      <c r="C5" s="70"/>
      <c r="D5" s="70"/>
      <c r="E5" s="70"/>
      <c r="F5" s="70"/>
      <c r="G5" s="70"/>
      <c r="H5" s="70"/>
      <c r="I5" s="70"/>
      <c r="J5" s="72"/>
      <c r="K5" s="72"/>
      <c r="L5" s="72"/>
      <c r="M5" s="72"/>
      <c r="N5" s="72"/>
      <c r="O5" s="70"/>
      <c r="R5" s="1386"/>
      <c r="S5" s="869"/>
      <c r="T5" s="869" t="s">
        <v>92</v>
      </c>
      <c r="U5" s="1386"/>
      <c r="V5" s="869" t="s">
        <v>93</v>
      </c>
      <c r="W5" s="869" t="s">
        <v>94</v>
      </c>
      <c r="X5" s="869" t="s">
        <v>94</v>
      </c>
      <c r="Y5" s="869"/>
      <c r="Z5" s="869"/>
      <c r="AA5" s="816" t="s">
        <v>92</v>
      </c>
      <c r="AB5" s="816"/>
      <c r="AC5" s="816" t="s">
        <v>93</v>
      </c>
      <c r="AD5" s="816" t="s">
        <v>94</v>
      </c>
      <c r="AE5" s="816" t="s">
        <v>94</v>
      </c>
      <c r="AF5" s="816" t="s">
        <v>94</v>
      </c>
      <c r="AG5" s="869" t="s">
        <v>95</v>
      </c>
      <c r="AH5" s="869" t="s">
        <v>95</v>
      </c>
      <c r="AI5" s="869" t="s">
        <v>95</v>
      </c>
      <c r="AK5" s="909" t="s">
        <v>96</v>
      </c>
      <c r="AL5" s="909" t="s">
        <v>96</v>
      </c>
      <c r="AM5" s="909" t="s">
        <v>96</v>
      </c>
      <c r="AN5" s="909" t="s">
        <v>96</v>
      </c>
      <c r="AP5" s="869" t="s">
        <v>96</v>
      </c>
      <c r="AQ5" s="869" t="s">
        <v>96</v>
      </c>
      <c r="AR5" s="869" t="s">
        <v>96</v>
      </c>
      <c r="AU5" s="876"/>
      <c r="AV5" s="876"/>
      <c r="AW5" s="876"/>
      <c r="AX5" s="876"/>
      <c r="AY5" s="876"/>
      <c r="AZ5" s="876"/>
      <c r="BA5" s="876"/>
      <c r="BB5" s="876"/>
      <c r="BC5" s="876"/>
      <c r="BD5" s="876"/>
      <c r="BU5" s="70"/>
      <c r="BV5" s="70"/>
    </row>
    <row r="6" spans="1:74" x14ac:dyDescent="0.2">
      <c r="A6" s="70"/>
      <c r="B6" s="70"/>
      <c r="C6" s="72"/>
      <c r="D6" s="72"/>
      <c r="E6" s="72"/>
      <c r="F6" s="72"/>
      <c r="G6" s="72"/>
      <c r="H6" s="70"/>
      <c r="I6" s="70"/>
      <c r="J6" s="72"/>
      <c r="K6" s="72"/>
      <c r="L6" s="72"/>
      <c r="M6" s="72"/>
      <c r="N6" s="72"/>
      <c r="O6" s="70"/>
      <c r="Q6" s="1386">
        <v>2006</v>
      </c>
      <c r="R6" s="910" t="s">
        <v>97</v>
      </c>
      <c r="S6" s="910">
        <v>38718</v>
      </c>
      <c r="T6" s="911">
        <v>9.745721069298835E-2</v>
      </c>
      <c r="U6" s="912">
        <v>3.3140000000000001</v>
      </c>
      <c r="V6" s="911">
        <v>2.940772803047325E-2</v>
      </c>
      <c r="W6" s="903">
        <v>30.901376053108024</v>
      </c>
      <c r="X6" s="913">
        <v>29.407728030473251</v>
      </c>
      <c r="Y6" s="902"/>
      <c r="Z6" s="902"/>
      <c r="AA6" s="903">
        <v>9.745721069298835E-2</v>
      </c>
      <c r="AB6" s="903">
        <v>3.3140000000000001</v>
      </c>
      <c r="AC6" s="903">
        <v>2.940772803047325E-2</v>
      </c>
      <c r="AD6" s="903">
        <v>30.901376053108024</v>
      </c>
      <c r="AE6" s="903">
        <v>29.407728030473251</v>
      </c>
      <c r="AF6" s="903">
        <v>68.055411610968733</v>
      </c>
      <c r="AG6" s="903">
        <v>0.13410859</v>
      </c>
      <c r="AH6" s="903">
        <v>9.6005910000000014E-2</v>
      </c>
      <c r="AI6" s="903">
        <v>0.10240716024</v>
      </c>
      <c r="AJ6" s="903"/>
      <c r="AK6" s="903">
        <v>38.697653658908038</v>
      </c>
      <c r="AL6" s="903">
        <v>34.704840853677865</v>
      </c>
      <c r="AM6" s="903">
        <v>16.498884912225765</v>
      </c>
      <c r="AN6" s="903">
        <v>27.141338972923897</v>
      </c>
      <c r="AO6" s="903"/>
      <c r="AP6" s="903">
        <v>40.467287266143636</v>
      </c>
      <c r="AQ6" s="903">
        <v>28.969797827398917</v>
      </c>
      <c r="AR6" s="903">
        <v>30.901376053108027</v>
      </c>
      <c r="AU6" s="876"/>
      <c r="AV6" s="876"/>
      <c r="AW6" s="876"/>
      <c r="AX6" s="876"/>
      <c r="AY6" s="876"/>
      <c r="AZ6" s="876"/>
      <c r="BA6" s="876"/>
      <c r="BB6" s="876"/>
      <c r="BC6" s="876"/>
      <c r="BD6" s="876"/>
      <c r="BU6" s="70"/>
      <c r="BV6" s="70"/>
    </row>
    <row r="7" spans="1:74" x14ac:dyDescent="0.2">
      <c r="A7" s="70"/>
      <c r="B7" s="70"/>
      <c r="C7" s="72"/>
      <c r="D7" s="72"/>
      <c r="E7" s="72"/>
      <c r="F7" s="72"/>
      <c r="G7" s="72"/>
      <c r="H7" s="337" t="s">
        <v>98</v>
      </c>
      <c r="I7" s="337" t="s">
        <v>99</v>
      </c>
      <c r="J7" s="337" t="s">
        <v>100</v>
      </c>
      <c r="K7" s="1389" t="s">
        <v>101</v>
      </c>
      <c r="L7" s="1390"/>
      <c r="M7" s="70"/>
      <c r="N7" s="70"/>
      <c r="O7" s="70"/>
      <c r="Q7" s="1386"/>
      <c r="R7" s="910" t="s">
        <v>102</v>
      </c>
      <c r="S7" s="910"/>
      <c r="T7" s="911">
        <v>0.12639009529168416</v>
      </c>
      <c r="U7" s="912">
        <v>3.2930000000000001</v>
      </c>
      <c r="V7" s="911">
        <v>3.8381444060638974E-2</v>
      </c>
      <c r="W7" s="903">
        <v>30.788158530649426</v>
      </c>
      <c r="X7" s="913">
        <v>38.381444060638977</v>
      </c>
      <c r="Y7" s="902"/>
      <c r="Z7" s="902"/>
      <c r="AA7" s="903">
        <v>0.12639009529168416</v>
      </c>
      <c r="AB7" s="903">
        <v>3.2930000000000001</v>
      </c>
      <c r="AC7" s="903">
        <v>3.8381444060638974E-2</v>
      </c>
      <c r="AD7" s="903">
        <v>30.788158530649426</v>
      </c>
      <c r="AE7" s="903">
        <v>38.381444060638977</v>
      </c>
      <c r="AF7" s="903">
        <v>68.055411610968733</v>
      </c>
      <c r="AG7" s="903">
        <v>0.13222592035714287</v>
      </c>
      <c r="AH7" s="903">
        <v>9.4661347499999993E-2</v>
      </c>
      <c r="AI7" s="903">
        <v>0.10138540604142857</v>
      </c>
      <c r="AJ7" s="903"/>
      <c r="AK7" s="903">
        <v>59.326060931089884</v>
      </c>
      <c r="AL7" s="903">
        <v>47.616460658969586</v>
      </c>
      <c r="AM7" s="903">
        <v>12.995887652430088</v>
      </c>
      <c r="AN7" s="903">
        <v>33.208536676860142</v>
      </c>
      <c r="AO7" s="903"/>
      <c r="AP7" s="903">
        <v>40.153635091753074</v>
      </c>
      <c r="AQ7" s="903">
        <v>28.74623367749772</v>
      </c>
      <c r="AR7" s="903">
        <v>30.788158530649426</v>
      </c>
      <c r="AU7" s="876"/>
      <c r="AV7" s="876"/>
      <c r="AW7" s="876"/>
      <c r="AX7" s="876"/>
      <c r="AY7" s="876"/>
      <c r="AZ7" s="876"/>
      <c r="BA7" s="876"/>
      <c r="BB7" s="876"/>
      <c r="BC7" s="876"/>
      <c r="BD7" s="876"/>
      <c r="BU7" s="70"/>
      <c r="BV7" s="70"/>
    </row>
    <row r="8" spans="1:74" x14ac:dyDescent="0.2">
      <c r="A8" s="70"/>
      <c r="B8" s="70"/>
      <c r="C8" s="72"/>
      <c r="D8" s="72"/>
      <c r="E8" s="72"/>
      <c r="F8" s="72"/>
      <c r="G8" s="72"/>
      <c r="H8" s="338"/>
      <c r="I8" s="884" t="s">
        <v>103</v>
      </c>
      <c r="J8" s="884" t="s">
        <v>103</v>
      </c>
      <c r="K8" s="885" t="s">
        <v>104</v>
      </c>
      <c r="L8" s="886" t="s">
        <v>105</v>
      </c>
      <c r="M8" s="70"/>
      <c r="N8" s="70"/>
      <c r="O8" s="70"/>
      <c r="Q8" s="1386"/>
      <c r="R8" s="910" t="s">
        <v>106</v>
      </c>
      <c r="S8" s="910">
        <v>38777</v>
      </c>
      <c r="T8" s="911">
        <v>8.0805830277178387E-2</v>
      </c>
      <c r="U8" s="912">
        <v>3.3580000000000001</v>
      </c>
      <c r="V8" s="911">
        <v>2.4063677866938173E-2</v>
      </c>
      <c r="W8" s="903">
        <v>30.163043478260867</v>
      </c>
      <c r="X8" s="913">
        <v>24.063677866938171</v>
      </c>
      <c r="Y8" s="902"/>
      <c r="Z8" s="902"/>
      <c r="AA8" s="903">
        <v>8.0805830277178387E-2</v>
      </c>
      <c r="AB8" s="903">
        <v>3.3580000000000001</v>
      </c>
      <c r="AC8" s="903">
        <v>2.4063677866938173E-2</v>
      </c>
      <c r="AD8" s="903">
        <v>30.163043478260867</v>
      </c>
      <c r="AE8" s="903">
        <v>24.063677866938171</v>
      </c>
      <c r="AF8" s="903">
        <v>68.055411610968733</v>
      </c>
      <c r="AG8" s="903">
        <v>0.13200000000000001</v>
      </c>
      <c r="AH8" s="903">
        <v>9.4500000000000001E-2</v>
      </c>
      <c r="AI8" s="903">
        <v>0.10128749999999999</v>
      </c>
      <c r="AJ8" s="903"/>
      <c r="AK8" s="903">
        <v>38.753500734145526</v>
      </c>
      <c r="AL8" s="903">
        <v>30.524414414716762</v>
      </c>
      <c r="AM8" s="903">
        <v>6.1430785247990993</v>
      </c>
      <c r="AN8" s="903">
        <v>20.342710890409261</v>
      </c>
      <c r="AO8" s="903"/>
      <c r="AP8" s="903">
        <v>39.309112567004171</v>
      </c>
      <c r="AQ8" s="903">
        <v>28.141751042287076</v>
      </c>
      <c r="AR8" s="903">
        <v>30.163043478260864</v>
      </c>
      <c r="AU8" s="876"/>
      <c r="AV8" s="876"/>
      <c r="AW8" s="876"/>
      <c r="AX8" s="876"/>
      <c r="AY8" s="914"/>
      <c r="AZ8" s="914"/>
      <c r="BA8" s="876"/>
      <c r="BB8" s="876"/>
      <c r="BC8" s="876"/>
      <c r="BD8" s="876"/>
      <c r="BU8" s="70"/>
      <c r="BV8" s="70"/>
    </row>
    <row r="9" spans="1:74" x14ac:dyDescent="0.2">
      <c r="A9" s="70"/>
      <c r="B9" s="70"/>
      <c r="C9" s="72"/>
      <c r="D9" s="72"/>
      <c r="E9" s="72"/>
      <c r="F9" s="72"/>
      <c r="G9" s="72"/>
      <c r="H9" s="887">
        <v>42736</v>
      </c>
      <c r="I9" s="888">
        <f>X150</f>
        <v>6.3304060990671163</v>
      </c>
      <c r="J9" s="888">
        <f>W150</f>
        <v>43.447779103619553</v>
      </c>
      <c r="K9" s="1391">
        <f>I10/I9-1</f>
        <v>0.26664816850460293</v>
      </c>
      <c r="L9" s="1391">
        <f>J10/J9-1</f>
        <v>1.4901368240775925E-2</v>
      </c>
      <c r="M9" s="70"/>
      <c r="N9" s="70"/>
      <c r="O9" s="70"/>
      <c r="Q9" s="1386"/>
      <c r="R9" s="910" t="s">
        <v>107</v>
      </c>
      <c r="S9" s="910"/>
      <c r="T9" s="911">
        <v>0.12807494669647956</v>
      </c>
      <c r="U9" s="912">
        <v>3.3119999999999998</v>
      </c>
      <c r="V9" s="911">
        <v>3.8669971828647211E-2</v>
      </c>
      <c r="W9" s="903">
        <v>30.344202898550723</v>
      </c>
      <c r="X9" s="913">
        <v>38.669971828647213</v>
      </c>
      <c r="Y9" s="902"/>
      <c r="Z9" s="902"/>
      <c r="AA9" s="903">
        <v>0.12807494669647956</v>
      </c>
      <c r="AB9" s="903">
        <v>3.3119999999999998</v>
      </c>
      <c r="AC9" s="903">
        <v>3.8669971828647211E-2</v>
      </c>
      <c r="AD9" s="903">
        <v>30.344202898550723</v>
      </c>
      <c r="AE9" s="903">
        <v>38.669971828647213</v>
      </c>
      <c r="AF9" s="903">
        <v>68.055411610968733</v>
      </c>
      <c r="AG9" s="903">
        <v>0.13200000000000001</v>
      </c>
      <c r="AH9" s="903">
        <v>9.4500000000000001E-2</v>
      </c>
      <c r="AI9" s="903">
        <v>0.10049999999999999</v>
      </c>
      <c r="AJ9" s="903"/>
      <c r="AK9" s="903">
        <v>75.805900885819057</v>
      </c>
      <c r="AL9" s="903">
        <v>44.336047565927558</v>
      </c>
      <c r="AM9" s="903">
        <v>10.379000073994121</v>
      </c>
      <c r="AN9" s="903">
        <v>30.423545217470256</v>
      </c>
      <c r="AO9" s="903"/>
      <c r="AP9" s="903">
        <v>39.855072463768117</v>
      </c>
      <c r="AQ9" s="903">
        <v>28.532608695652176</v>
      </c>
      <c r="AR9" s="903">
        <v>30.344202898550723</v>
      </c>
      <c r="AU9" s="876"/>
      <c r="AV9" s="876"/>
      <c r="AW9" s="876"/>
      <c r="AX9" s="876"/>
      <c r="AY9" s="914"/>
      <c r="AZ9" s="914"/>
      <c r="BA9" s="876"/>
      <c r="BB9" s="876"/>
      <c r="BC9" s="876"/>
      <c r="BD9" s="876"/>
      <c r="BU9" s="70"/>
      <c r="BV9" s="70"/>
    </row>
    <row r="10" spans="1:74" x14ac:dyDescent="0.2">
      <c r="A10" s="70"/>
      <c r="B10" s="70"/>
      <c r="C10" s="72"/>
      <c r="D10" s="72"/>
      <c r="E10" s="72"/>
      <c r="F10" s="72"/>
      <c r="G10" s="72"/>
      <c r="H10" s="889">
        <v>43101</v>
      </c>
      <c r="I10" s="890">
        <f>X162</f>
        <v>8.0183972912737307</v>
      </c>
      <c r="J10" s="890">
        <f>W162</f>
        <v>44.095210459286477</v>
      </c>
      <c r="K10" s="1392"/>
      <c r="L10" s="1392"/>
      <c r="M10" s="70"/>
      <c r="N10" s="70"/>
      <c r="O10" s="70"/>
      <c r="Q10" s="1386"/>
      <c r="R10" s="910" t="s">
        <v>108</v>
      </c>
      <c r="S10" s="910">
        <v>38838</v>
      </c>
      <c r="T10" s="911">
        <v>0.3657487828198081</v>
      </c>
      <c r="U10" s="912">
        <v>3.2932999999999999</v>
      </c>
      <c r="V10" s="911">
        <v>0.11105844679191332</v>
      </c>
      <c r="W10" s="903">
        <v>29.25181428961832</v>
      </c>
      <c r="X10" s="913">
        <v>111.05844679191331</v>
      </c>
      <c r="Y10" s="902"/>
      <c r="Z10" s="902"/>
      <c r="AA10" s="903">
        <v>0.3657487828198081</v>
      </c>
      <c r="AB10" s="903">
        <v>3.2932999999999999</v>
      </c>
      <c r="AC10" s="903">
        <v>0.11105844679191332</v>
      </c>
      <c r="AD10" s="903">
        <v>28.986123341329368</v>
      </c>
      <c r="AE10" s="903">
        <v>111.05844679191331</v>
      </c>
      <c r="AF10" s="903">
        <v>68.055411610968733</v>
      </c>
      <c r="AG10" s="903">
        <v>0.11460000000000001</v>
      </c>
      <c r="AH10" s="903">
        <v>9.1400000000000009E-2</v>
      </c>
      <c r="AI10" s="903">
        <v>9.5460000000000003E-2</v>
      </c>
      <c r="AJ10" s="903"/>
      <c r="AK10" s="903">
        <v>131.02692118349276</v>
      </c>
      <c r="AL10" s="903">
        <v>116.25349177027636</v>
      </c>
      <c r="AM10" s="903">
        <v>91.906860080327547</v>
      </c>
      <c r="AN10" s="903">
        <v>106.14083428030759</v>
      </c>
      <c r="AO10" s="903"/>
      <c r="AP10" s="903">
        <v>34.797923055901386</v>
      </c>
      <c r="AQ10" s="903">
        <v>27.753317341268641</v>
      </c>
      <c r="AR10" s="903">
        <v>28.986123341329368</v>
      </c>
      <c r="AU10" s="876"/>
      <c r="AV10" s="876"/>
      <c r="AW10" s="876"/>
      <c r="AX10" s="876"/>
      <c r="AY10" s="914"/>
      <c r="AZ10" s="914"/>
      <c r="BA10" s="876"/>
      <c r="BB10" s="876"/>
      <c r="BC10" s="876"/>
      <c r="BD10" s="876"/>
      <c r="BU10" s="70"/>
      <c r="BV10" s="70"/>
    </row>
    <row r="11" spans="1:74" x14ac:dyDescent="0.2">
      <c r="A11" s="70"/>
      <c r="B11" s="70"/>
      <c r="C11" s="72"/>
      <c r="D11" s="72"/>
      <c r="E11" s="72"/>
      <c r="F11" s="72"/>
      <c r="G11" s="72"/>
      <c r="H11" s="892">
        <v>43070</v>
      </c>
      <c r="I11" s="893">
        <f>X161</f>
        <v>8.5030574971678341</v>
      </c>
      <c r="J11" s="893">
        <f>W161</f>
        <v>43.497949065543978</v>
      </c>
      <c r="K11" s="1391">
        <f>I12/I11-1</f>
        <v>-0.10035532085835086</v>
      </c>
      <c r="L11" s="1391">
        <f>J12/J11-1</f>
        <v>5.4591280203107884E-2</v>
      </c>
      <c r="M11" s="70"/>
      <c r="N11" s="70"/>
      <c r="O11" s="70"/>
      <c r="Q11" s="1386"/>
      <c r="R11" s="910" t="s">
        <v>109</v>
      </c>
      <c r="S11" s="910"/>
      <c r="T11" s="911">
        <v>0.28664014309003699</v>
      </c>
      <c r="U11" s="912">
        <v>3.26</v>
      </c>
      <c r="V11" s="911">
        <v>8.7926424260747552E-2</v>
      </c>
      <c r="W11" s="903">
        <v>29.541963190184049</v>
      </c>
      <c r="X11" s="913">
        <v>87.926424260747552</v>
      </c>
      <c r="Y11" s="902"/>
      <c r="Z11" s="902"/>
      <c r="AA11" s="903">
        <v>0.28664014309003699</v>
      </c>
      <c r="AB11" s="903">
        <v>3.26</v>
      </c>
      <c r="AC11" s="903">
        <v>8.7926424260747552E-2</v>
      </c>
      <c r="AD11" s="903">
        <v>29.27509202453988</v>
      </c>
      <c r="AE11" s="903">
        <v>87.926424260747552</v>
      </c>
      <c r="AF11" s="903">
        <v>68.055411610968733</v>
      </c>
      <c r="AG11" s="903">
        <v>0.11460000000000001</v>
      </c>
      <c r="AH11" s="903">
        <v>9.1400000000000009E-2</v>
      </c>
      <c r="AI11" s="903">
        <v>9.5436800000000002E-2</v>
      </c>
      <c r="AJ11" s="903"/>
      <c r="AK11" s="903">
        <v>102.55878276092687</v>
      </c>
      <c r="AL11" s="903">
        <v>91.965877193758075</v>
      </c>
      <c r="AM11" s="903">
        <v>73.646590511793605</v>
      </c>
      <c r="AN11" s="903">
        <v>84.373143082146129</v>
      </c>
      <c r="AO11" s="903"/>
      <c r="AP11" s="903">
        <v>35.153374233128837</v>
      </c>
      <c r="AQ11" s="903">
        <v>28.036809815950924</v>
      </c>
      <c r="AR11" s="903">
        <v>29.27509202453988</v>
      </c>
      <c r="AU11" s="876"/>
      <c r="AV11" s="876"/>
      <c r="AW11" s="876"/>
      <c r="AX11" s="876"/>
      <c r="AY11" s="914"/>
      <c r="AZ11" s="914"/>
      <c r="BA11" s="876"/>
      <c r="BB11" s="876"/>
      <c r="BC11" s="876"/>
      <c r="BD11" s="876"/>
      <c r="BU11" s="70"/>
      <c r="BV11" s="70"/>
    </row>
    <row r="12" spans="1:74" ht="13.5" thickBot="1" x14ac:dyDescent="0.25">
      <c r="A12" s="70"/>
      <c r="B12" s="70"/>
      <c r="C12" s="72"/>
      <c r="D12" s="72"/>
      <c r="E12" s="72"/>
      <c r="F12" s="72"/>
      <c r="G12" s="72"/>
      <c r="H12" s="894">
        <v>43435</v>
      </c>
      <c r="I12" s="895">
        <f>X173</f>
        <v>7.6497304337625502</v>
      </c>
      <c r="J12" s="895">
        <f>W173</f>
        <v>45.872557791241604</v>
      </c>
      <c r="K12" s="1393"/>
      <c r="L12" s="1393"/>
      <c r="M12" s="70"/>
      <c r="N12" s="70"/>
      <c r="O12" s="70"/>
      <c r="Q12" s="1386"/>
      <c r="R12" s="910" t="s">
        <v>110</v>
      </c>
      <c r="S12" s="910">
        <v>38899</v>
      </c>
      <c r="T12" s="911">
        <v>0.29388779349929317</v>
      </c>
      <c r="U12" s="912">
        <v>3.242</v>
      </c>
      <c r="V12" s="911">
        <v>9.0650152220633301E-2</v>
      </c>
      <c r="W12" s="903">
        <v>29.592905613818633</v>
      </c>
      <c r="X12" s="913">
        <v>90.650152220633302</v>
      </c>
      <c r="Y12" s="902"/>
      <c r="Z12" s="902"/>
      <c r="AA12" s="903">
        <v>0.29388779349929317</v>
      </c>
      <c r="AB12" s="903">
        <v>3.242</v>
      </c>
      <c r="AC12" s="903">
        <v>9.0650152220633301E-2</v>
      </c>
      <c r="AD12" s="903">
        <v>29.344602097470695</v>
      </c>
      <c r="AE12" s="903">
        <v>90.650152220633302</v>
      </c>
      <c r="AF12" s="903">
        <v>68.055411610968733</v>
      </c>
      <c r="AG12" s="903">
        <v>0.11460000000000001</v>
      </c>
      <c r="AH12" s="903">
        <v>9.1400000000000009E-2</v>
      </c>
      <c r="AI12" s="903">
        <v>9.5135200000000003E-2</v>
      </c>
      <c r="AJ12" s="903"/>
      <c r="AK12" s="903">
        <v>110.23382286108061</v>
      </c>
      <c r="AL12" s="903">
        <v>96.57509616012517</v>
      </c>
      <c r="AM12" s="903">
        <v>74.055485832340267</v>
      </c>
      <c r="AN12" s="903">
        <v>84.841593598950141</v>
      </c>
      <c r="AO12" s="903"/>
      <c r="AP12" s="903">
        <v>35.348550277606414</v>
      </c>
      <c r="AQ12" s="903">
        <v>28.19247378161629</v>
      </c>
      <c r="AR12" s="903">
        <v>29.344602097470698</v>
      </c>
      <c r="AU12" s="876"/>
      <c r="AV12" s="876"/>
      <c r="AW12" s="876"/>
      <c r="AX12" s="876"/>
      <c r="AY12" s="914"/>
      <c r="AZ12" s="914"/>
      <c r="BA12" s="876"/>
      <c r="BB12" s="876"/>
      <c r="BC12" s="876"/>
      <c r="BD12" s="876"/>
      <c r="BU12" s="70"/>
      <c r="BV12" s="70"/>
    </row>
    <row r="13" spans="1:74" s="851" customFormat="1" ht="26.25" thickTop="1" x14ac:dyDescent="0.2">
      <c r="A13" s="882"/>
      <c r="B13" s="882"/>
      <c r="C13" s="882"/>
      <c r="D13" s="882"/>
      <c r="E13" s="882"/>
      <c r="F13" s="882"/>
      <c r="G13" s="882"/>
      <c r="H13" s="880" t="s">
        <v>369</v>
      </c>
      <c r="I13" s="351">
        <f>((I10/I9)^(1/12))-1</f>
        <v>1.9893130559217376E-2</v>
      </c>
      <c r="J13" s="352">
        <f>((J10/J9)^(1/12))-1</f>
        <v>1.2333794563552658E-3</v>
      </c>
      <c r="K13" s="896"/>
      <c r="L13" s="897"/>
      <c r="M13" s="882"/>
      <c r="N13" s="882"/>
      <c r="O13" s="882"/>
      <c r="P13" s="919"/>
      <c r="Q13" s="1386"/>
      <c r="R13" s="915" t="s">
        <v>111</v>
      </c>
      <c r="S13" s="915"/>
      <c r="T13" s="916">
        <v>0.34327919081008001</v>
      </c>
      <c r="U13" s="917">
        <v>3.2410000000000001</v>
      </c>
      <c r="V13" s="916">
        <v>0.10591767689295896</v>
      </c>
      <c r="W13" s="905">
        <v>29.723850663375504</v>
      </c>
      <c r="X13" s="918">
        <v>105.91767689295897</v>
      </c>
      <c r="Y13" s="904"/>
      <c r="Z13" s="904"/>
      <c r="AA13" s="905">
        <v>0.34327919081008001</v>
      </c>
      <c r="AB13" s="905">
        <v>3.2410000000000001</v>
      </c>
      <c r="AC13" s="905">
        <v>0.10591767689295896</v>
      </c>
      <c r="AD13" s="905">
        <v>29.453872261647643</v>
      </c>
      <c r="AE13" s="905">
        <v>105.91767689295897</v>
      </c>
      <c r="AF13" s="905">
        <v>68.055411610968733</v>
      </c>
      <c r="AG13" s="905">
        <v>0.11460000000000001</v>
      </c>
      <c r="AH13" s="905">
        <v>9.1400000000000009E-2</v>
      </c>
      <c r="AI13" s="905">
        <v>9.5460000000000003E-2</v>
      </c>
      <c r="AJ13" s="905"/>
      <c r="AK13" s="905">
        <v>118.23580553117377</v>
      </c>
      <c r="AL13" s="905">
        <v>117.77698098157893</v>
      </c>
      <c r="AM13" s="905">
        <v>81.835611553667405</v>
      </c>
      <c r="AN13" s="905">
        <v>102.90896723214472</v>
      </c>
      <c r="AO13" s="905"/>
      <c r="AP13" s="905">
        <v>35.359456957729094</v>
      </c>
      <c r="AQ13" s="905">
        <v>28.201172477630362</v>
      </c>
      <c r="AR13" s="905">
        <v>29.453872261647639</v>
      </c>
      <c r="AS13" s="919"/>
      <c r="AT13" s="919"/>
      <c r="AU13" s="919"/>
      <c r="AV13" s="919"/>
      <c r="AW13" s="919"/>
      <c r="AX13" s="919"/>
      <c r="AY13" s="920"/>
      <c r="AZ13" s="920"/>
      <c r="BA13" s="919"/>
      <c r="BB13" s="919"/>
      <c r="BC13" s="919"/>
      <c r="BD13" s="919"/>
      <c r="BE13" s="919"/>
      <c r="BF13" s="919"/>
      <c r="BG13" s="919"/>
      <c r="BH13" s="919"/>
      <c r="BI13" s="919"/>
      <c r="BJ13" s="919"/>
      <c r="BK13" s="919"/>
      <c r="BL13" s="883"/>
      <c r="BM13" s="883"/>
      <c r="BN13" s="883"/>
      <c r="BO13" s="883"/>
      <c r="BP13" s="883"/>
      <c r="BQ13" s="883"/>
      <c r="BR13" s="883"/>
      <c r="BS13" s="883"/>
      <c r="BT13" s="883"/>
      <c r="BU13" s="882"/>
      <c r="BV13" s="882"/>
    </row>
    <row r="14" spans="1:74" s="851" customFormat="1" ht="25.5" x14ac:dyDescent="0.2">
      <c r="A14" s="882"/>
      <c r="B14" s="882"/>
      <c r="C14" s="882"/>
      <c r="D14" s="882"/>
      <c r="E14" s="882"/>
      <c r="F14" s="882"/>
      <c r="G14" s="882"/>
      <c r="H14" s="881" t="s">
        <v>370</v>
      </c>
      <c r="I14" s="353">
        <f>((I12/I11)^(1/12))-1</f>
        <v>-8.7742293372098379E-3</v>
      </c>
      <c r="J14" s="354">
        <f>((J12/J11)^(1/12))-1</f>
        <v>4.439264447436253E-3</v>
      </c>
      <c r="K14" s="898"/>
      <c r="L14" s="899"/>
      <c r="M14" s="882"/>
      <c r="N14" s="882"/>
      <c r="O14" s="882"/>
      <c r="P14" s="919"/>
      <c r="Q14" s="1386"/>
      <c r="R14" s="915" t="s">
        <v>112</v>
      </c>
      <c r="S14" s="915">
        <v>38961</v>
      </c>
      <c r="T14" s="916">
        <v>0.48686454113055805</v>
      </c>
      <c r="U14" s="917">
        <v>3.25</v>
      </c>
      <c r="V14" s="916">
        <v>0.14980447419401785</v>
      </c>
      <c r="W14" s="905">
        <v>29.693600000000004</v>
      </c>
      <c r="X14" s="918">
        <v>149.80447419401784</v>
      </c>
      <c r="Y14" s="904"/>
      <c r="Z14" s="904"/>
      <c r="AA14" s="905">
        <v>0.48687610453275282</v>
      </c>
      <c r="AB14" s="905">
        <v>3.25</v>
      </c>
      <c r="AC14" s="905">
        <v>0.14980803216392394</v>
      </c>
      <c r="AD14" s="905">
        <v>29.415138461538465</v>
      </c>
      <c r="AE14" s="905">
        <v>149.80803216392394</v>
      </c>
      <c r="AF14" s="905">
        <v>68.055411610968733</v>
      </c>
      <c r="AG14" s="905">
        <v>0.11460000000000001</v>
      </c>
      <c r="AH14" s="905">
        <v>9.1400000000000009E-2</v>
      </c>
      <c r="AI14" s="905">
        <v>9.5599200000000009E-2</v>
      </c>
      <c r="AJ14" s="905"/>
      <c r="AK14" s="905">
        <v>165.14241426202506</v>
      </c>
      <c r="AL14" s="905">
        <v>159.25845283913262</v>
      </c>
      <c r="AM14" s="905">
        <v>127.42503924158083</v>
      </c>
      <c r="AN14" s="905">
        <v>145.89430242190153</v>
      </c>
      <c r="AO14" s="905"/>
      <c r="AP14" s="905">
        <v>35.261538461538464</v>
      </c>
      <c r="AQ14" s="905">
        <v>28.123076923076923</v>
      </c>
      <c r="AR14" s="905">
        <v>29.415138461538465</v>
      </c>
      <c r="AS14" s="919"/>
      <c r="AT14" s="919"/>
      <c r="AU14" s="919"/>
      <c r="AV14" s="919"/>
      <c r="AW14" s="919"/>
      <c r="AX14" s="919"/>
      <c r="AY14" s="920"/>
      <c r="AZ14" s="920"/>
      <c r="BA14" s="919"/>
      <c r="BB14" s="919"/>
      <c r="BC14" s="919"/>
      <c r="BD14" s="919"/>
      <c r="BE14" s="919"/>
      <c r="BF14" s="919"/>
      <c r="BG14" s="919"/>
      <c r="BH14" s="919"/>
      <c r="BI14" s="919"/>
      <c r="BJ14" s="919"/>
      <c r="BK14" s="919"/>
      <c r="BL14" s="883"/>
      <c r="BM14" s="883"/>
      <c r="BN14" s="883"/>
      <c r="BO14" s="883"/>
      <c r="BP14" s="883"/>
      <c r="BQ14" s="883"/>
      <c r="BR14" s="883"/>
      <c r="BS14" s="883"/>
      <c r="BT14" s="883"/>
      <c r="BU14" s="882"/>
      <c r="BV14" s="882"/>
    </row>
    <row r="15" spans="1:74" s="851" customFormat="1" ht="15.75" customHeight="1" x14ac:dyDescent="0.2">
      <c r="A15" s="882"/>
      <c r="B15" s="882"/>
      <c r="C15" s="882"/>
      <c r="D15" s="882"/>
      <c r="E15" s="882"/>
      <c r="F15" s="882"/>
      <c r="G15" s="882"/>
      <c r="H15" s="883"/>
      <c r="I15" s="883"/>
      <c r="J15" s="883"/>
      <c r="K15" s="883"/>
      <c r="L15" s="883"/>
      <c r="M15" s="882"/>
      <c r="N15" s="882"/>
      <c r="O15" s="882"/>
      <c r="P15" s="919"/>
      <c r="Q15" s="1386"/>
      <c r="R15" s="915" t="s">
        <v>113</v>
      </c>
      <c r="S15" s="915"/>
      <c r="T15" s="916">
        <v>0.23120895428681437</v>
      </c>
      <c r="U15" s="917">
        <v>3.2160000000000002</v>
      </c>
      <c r="V15" s="916">
        <v>7.1893331556845255E-2</v>
      </c>
      <c r="W15" s="905">
        <v>29.954912935323385</v>
      </c>
      <c r="X15" s="918">
        <v>71.893331556845254</v>
      </c>
      <c r="Y15" s="904"/>
      <c r="Z15" s="904"/>
      <c r="AA15" s="905">
        <v>0.23098946860653649</v>
      </c>
      <c r="AB15" s="905">
        <v>3.2160000000000002</v>
      </c>
      <c r="AC15" s="905">
        <v>7.1825083521932981E-2</v>
      </c>
      <c r="AD15" s="905">
        <v>29.682835820895523</v>
      </c>
      <c r="AE15" s="905">
        <v>71.825083521932982</v>
      </c>
      <c r="AF15" s="905">
        <v>68.055411610968733</v>
      </c>
      <c r="AG15" s="905">
        <v>0.11460000000000001</v>
      </c>
      <c r="AH15" s="905">
        <v>9.1400000000000009E-2</v>
      </c>
      <c r="AI15" s="905">
        <v>9.5460000000000003E-2</v>
      </c>
      <c r="AJ15" s="905"/>
      <c r="AK15" s="905">
        <v>104.96716793964137</v>
      </c>
      <c r="AL15" s="905">
        <v>78.482209027747629</v>
      </c>
      <c r="AM15" s="905">
        <v>43.191381916626156</v>
      </c>
      <c r="AN15" s="905">
        <v>63.800536425386412</v>
      </c>
      <c r="AO15" s="905"/>
      <c r="AP15" s="905">
        <v>35.634328358208954</v>
      </c>
      <c r="AQ15" s="905">
        <v>28.420398009950247</v>
      </c>
      <c r="AR15" s="905">
        <v>29.682835820895523</v>
      </c>
      <c r="AS15" s="919"/>
      <c r="AT15" s="919"/>
      <c r="AU15" s="919"/>
      <c r="AV15" s="919"/>
      <c r="AW15" s="919"/>
      <c r="AX15" s="919"/>
      <c r="AY15" s="919"/>
      <c r="AZ15" s="919"/>
      <c r="BA15" s="919"/>
      <c r="BB15" s="919"/>
      <c r="BC15" s="919"/>
      <c r="BD15" s="919"/>
      <c r="BE15" s="919"/>
      <c r="BF15" s="919"/>
      <c r="BG15" s="919"/>
      <c r="BH15" s="919"/>
      <c r="BI15" s="919"/>
      <c r="BJ15" s="919"/>
      <c r="BK15" s="919"/>
      <c r="BL15" s="883"/>
      <c r="BM15" s="883"/>
      <c r="BN15" s="883"/>
      <c r="BO15" s="883"/>
      <c r="BP15" s="883"/>
      <c r="BQ15" s="883"/>
      <c r="BR15" s="883"/>
      <c r="BS15" s="883"/>
      <c r="BT15" s="883"/>
      <c r="BU15" s="882"/>
      <c r="BV15" s="882"/>
    </row>
    <row r="16" spans="1:74" s="851" customFormat="1" ht="15.75" customHeight="1" x14ac:dyDescent="0.2">
      <c r="A16" s="882"/>
      <c r="B16" s="882"/>
      <c r="C16" s="882"/>
      <c r="D16" s="882"/>
      <c r="E16" s="882"/>
      <c r="F16" s="882"/>
      <c r="G16" s="882"/>
      <c r="H16" s="883"/>
      <c r="I16" s="883"/>
      <c r="J16" s="883"/>
      <c r="K16" s="883"/>
      <c r="L16" s="883"/>
      <c r="M16" s="882"/>
      <c r="N16" s="882"/>
      <c r="O16" s="882"/>
      <c r="P16" s="919"/>
      <c r="Q16" s="1386"/>
      <c r="R16" s="915" t="s">
        <v>114</v>
      </c>
      <c r="S16" s="915">
        <v>39022</v>
      </c>
      <c r="T16" s="905">
        <v>0.13081170576721798</v>
      </c>
      <c r="U16" s="905">
        <v>3.2229999999999999</v>
      </c>
      <c r="V16" s="905">
        <v>4.0586939425137449E-2</v>
      </c>
      <c r="W16" s="905">
        <v>27.964788681352772</v>
      </c>
      <c r="X16" s="905">
        <v>40.586939425137452</v>
      </c>
      <c r="Y16" s="906"/>
      <c r="Z16" s="906"/>
      <c r="AA16" s="905">
        <v>0.13081170576721798</v>
      </c>
      <c r="AB16" s="905">
        <v>3.2229999999999999</v>
      </c>
      <c r="AC16" s="905">
        <v>4.0586939425137449E-2</v>
      </c>
      <c r="AD16" s="905">
        <v>27.964788681352772</v>
      </c>
      <c r="AE16" s="905">
        <v>40.586939425137452</v>
      </c>
      <c r="AF16" s="905">
        <v>68.055411610968733</v>
      </c>
      <c r="AG16" s="905">
        <v>0.10822824</v>
      </c>
      <c r="AH16" s="905">
        <v>8.6318160000000005E-2</v>
      </c>
      <c r="AI16" s="905">
        <v>9.0130513919999988E-2</v>
      </c>
      <c r="AJ16" s="905"/>
      <c r="AK16" s="905">
        <v>60.618212916641987</v>
      </c>
      <c r="AL16" s="905">
        <v>48.256655879549704</v>
      </c>
      <c r="AM16" s="905">
        <v>18.204208780859219</v>
      </c>
      <c r="AN16" s="905">
        <v>35.736477368698417</v>
      </c>
      <c r="AO16" s="905"/>
      <c r="AP16" s="905">
        <v>33.579968973006515</v>
      </c>
      <c r="AQ16" s="905">
        <v>26.781929878994728</v>
      </c>
      <c r="AR16" s="905">
        <v>27.964788681352772</v>
      </c>
      <c r="AS16" s="919"/>
      <c r="AT16" s="919"/>
      <c r="AU16" s="919"/>
      <c r="AV16" s="919"/>
      <c r="AW16" s="919"/>
      <c r="AX16" s="919"/>
      <c r="AY16" s="919"/>
      <c r="AZ16" s="919"/>
      <c r="BA16" s="919"/>
      <c r="BB16" s="919"/>
      <c r="BC16" s="919"/>
      <c r="BD16" s="919"/>
      <c r="BE16" s="919"/>
      <c r="BF16" s="919"/>
      <c r="BG16" s="919"/>
      <c r="BH16" s="919"/>
      <c r="BI16" s="919"/>
      <c r="BJ16" s="919"/>
      <c r="BK16" s="919"/>
      <c r="BL16" s="883"/>
      <c r="BM16" s="883"/>
      <c r="BN16" s="883"/>
      <c r="BO16" s="883"/>
      <c r="BP16" s="883"/>
      <c r="BQ16" s="883"/>
      <c r="BR16" s="883"/>
      <c r="BS16" s="883"/>
      <c r="BT16" s="883"/>
      <c r="BU16" s="882"/>
      <c r="BV16" s="882"/>
    </row>
    <row r="17" spans="1:74" s="851" customFormat="1" ht="15.75" customHeight="1" thickBot="1" x14ac:dyDescent="0.25">
      <c r="A17" s="891"/>
      <c r="B17" s="882"/>
      <c r="C17" s="882"/>
      <c r="D17" s="882"/>
      <c r="E17" s="882"/>
      <c r="F17" s="882"/>
      <c r="G17" s="882"/>
      <c r="H17" s="883"/>
      <c r="I17" s="883"/>
      <c r="J17" s="883"/>
      <c r="K17" s="883"/>
      <c r="L17" s="883"/>
      <c r="M17" s="882"/>
      <c r="N17" s="882"/>
      <c r="O17" s="882"/>
      <c r="P17" s="919"/>
      <c r="Q17" s="1387"/>
      <c r="R17" s="1126" t="s">
        <v>115</v>
      </c>
      <c r="S17" s="1126"/>
      <c r="T17" s="1127">
        <v>9.2299036906632811E-2</v>
      </c>
      <c r="U17" s="1127">
        <v>3.1970000000000001</v>
      </c>
      <c r="V17" s="1127">
        <v>2.8870515141267691E-2</v>
      </c>
      <c r="W17" s="1127">
        <v>28.103122577416325</v>
      </c>
      <c r="X17" s="1127">
        <v>28.870515141267692</v>
      </c>
      <c r="Y17" s="1128"/>
      <c r="Z17" s="1128"/>
      <c r="AA17" s="1127">
        <v>9.2299036906632811E-2</v>
      </c>
      <c r="AB17" s="1127">
        <v>3.1970000000000001</v>
      </c>
      <c r="AC17" s="1127">
        <v>2.8870515141267691E-2</v>
      </c>
      <c r="AD17" s="1127">
        <v>28.103122577416325</v>
      </c>
      <c r="AE17" s="1127">
        <v>28.870515141267692</v>
      </c>
      <c r="AF17" s="1127">
        <v>68.055411610968733</v>
      </c>
      <c r="AG17" s="1127">
        <v>0.10822824</v>
      </c>
      <c r="AH17" s="1127">
        <v>8.6318160000000005E-2</v>
      </c>
      <c r="AI17" s="1127">
        <v>8.984568288E-2</v>
      </c>
      <c r="AJ17" s="1127"/>
      <c r="AK17" s="1127">
        <v>51.14939151497402</v>
      </c>
      <c r="AL17" s="1127">
        <v>31.464390379331387</v>
      </c>
      <c r="AM17" s="1127">
        <v>12.949207698739148</v>
      </c>
      <c r="AN17" s="1127">
        <v>23.857991781139368</v>
      </c>
      <c r="AO17" s="1127"/>
      <c r="AP17" s="1127">
        <v>33.85306224585549</v>
      </c>
      <c r="AQ17" s="1127">
        <v>26.999737253675324</v>
      </c>
      <c r="AR17" s="1127">
        <v>28.103122577416329</v>
      </c>
      <c r="AS17" s="921"/>
      <c r="AT17" s="922"/>
      <c r="AU17" s="922"/>
      <c r="AV17" s="922"/>
      <c r="AW17" s="922"/>
      <c r="AX17" s="922"/>
      <c r="AY17" s="922"/>
      <c r="AZ17" s="922"/>
      <c r="BA17" s="922"/>
      <c r="BB17" s="922"/>
      <c r="BC17" s="922"/>
      <c r="BD17" s="922"/>
      <c r="BE17" s="919"/>
      <c r="BF17" s="919"/>
      <c r="BG17" s="919"/>
      <c r="BH17" s="919"/>
      <c r="BI17" s="919"/>
      <c r="BJ17" s="919"/>
      <c r="BK17" s="919"/>
      <c r="BL17" s="883"/>
      <c r="BM17" s="883"/>
      <c r="BN17" s="883"/>
      <c r="BO17" s="883"/>
      <c r="BP17" s="883"/>
      <c r="BQ17" s="883"/>
      <c r="BR17" s="883"/>
      <c r="BS17" s="883"/>
      <c r="BT17" s="883"/>
      <c r="BU17" s="882"/>
      <c r="BV17" s="882"/>
    </row>
    <row r="18" spans="1:74" s="851" customFormat="1" ht="15.75" customHeight="1" thickTop="1" x14ac:dyDescent="0.2">
      <c r="A18" s="891"/>
      <c r="B18" s="882"/>
      <c r="C18" s="882"/>
      <c r="D18" s="882"/>
      <c r="E18" s="882"/>
      <c r="F18" s="882"/>
      <c r="G18" s="882"/>
      <c r="H18" s="883"/>
      <c r="I18" s="883"/>
      <c r="J18" s="883"/>
      <c r="K18" s="883"/>
      <c r="L18" s="883"/>
      <c r="M18" s="882"/>
      <c r="N18" s="882"/>
      <c r="O18" s="882"/>
      <c r="P18" s="919"/>
      <c r="Q18" s="1386">
        <v>2007</v>
      </c>
      <c r="R18" s="915" t="s">
        <v>97</v>
      </c>
      <c r="S18" s="915">
        <v>39083</v>
      </c>
      <c r="T18" s="905">
        <v>7.9980108600123195E-2</v>
      </c>
      <c r="U18" s="905">
        <v>3.1989999999999998</v>
      </c>
      <c r="V18" s="905">
        <v>2.5001596936581182E-2</v>
      </c>
      <c r="W18" s="905">
        <v>28.13349591747421</v>
      </c>
      <c r="X18" s="905">
        <v>25.00159693658118</v>
      </c>
      <c r="Y18" s="906"/>
      <c r="Z18" s="906"/>
      <c r="AA18" s="905">
        <v>7.9965928931262573E-2</v>
      </c>
      <c r="AB18" s="905">
        <v>3.1989999999999998</v>
      </c>
      <c r="AC18" s="905">
        <v>2.4997164404896084E-2</v>
      </c>
      <c r="AD18" s="905">
        <v>28.13349591747421</v>
      </c>
      <c r="AE18" s="905">
        <v>24.997164404896083</v>
      </c>
      <c r="AF18" s="905">
        <v>37.99</v>
      </c>
      <c r="AG18" s="905">
        <v>0.10822824</v>
      </c>
      <c r="AH18" s="905">
        <v>8.6318160000000005E-2</v>
      </c>
      <c r="AI18" s="905">
        <v>8.9999053440000004E-2</v>
      </c>
      <c r="AJ18" s="905"/>
      <c r="AK18" s="905">
        <v>49.276083018843522</v>
      </c>
      <c r="AL18" s="905">
        <v>30.176181266636398</v>
      </c>
      <c r="AM18" s="905">
        <v>3.4465095628920426</v>
      </c>
      <c r="AN18" s="905">
        <v>19.096809343039862</v>
      </c>
      <c r="AO18" s="905"/>
      <c r="AP18" s="905">
        <v>33.83189746795874</v>
      </c>
      <c r="AQ18" s="905">
        <v>26.982857142857146</v>
      </c>
      <c r="AR18" s="905">
        <v>28.133495917474214</v>
      </c>
      <c r="AS18" s="921"/>
      <c r="AT18" s="922"/>
      <c r="AU18" s="922"/>
      <c r="AV18" s="922"/>
      <c r="AW18" s="922"/>
      <c r="AX18" s="922"/>
      <c r="AY18" s="922"/>
      <c r="AZ18" s="922"/>
      <c r="BA18" s="922"/>
      <c r="BB18" s="922"/>
      <c r="BC18" s="922"/>
      <c r="BD18" s="922"/>
      <c r="BE18" s="919"/>
      <c r="BF18" s="919"/>
      <c r="BG18" s="919"/>
      <c r="BH18" s="919"/>
      <c r="BI18" s="919"/>
      <c r="BJ18" s="919"/>
      <c r="BK18" s="919"/>
      <c r="BL18" s="883"/>
      <c r="BM18" s="883"/>
      <c r="BN18" s="883"/>
      <c r="BO18" s="883"/>
      <c r="BP18" s="883"/>
      <c r="BQ18" s="883"/>
      <c r="BR18" s="883"/>
      <c r="BS18" s="883"/>
      <c r="BT18" s="883"/>
      <c r="BU18" s="882"/>
      <c r="BV18" s="882"/>
    </row>
    <row r="19" spans="1:74" s="851" customFormat="1" x14ac:dyDescent="0.2">
      <c r="A19" s="891"/>
      <c r="B19" s="882"/>
      <c r="C19" s="882"/>
      <c r="D19" s="882"/>
      <c r="E19" s="882"/>
      <c r="F19" s="882"/>
      <c r="G19" s="882"/>
      <c r="H19" s="883"/>
      <c r="I19" s="883"/>
      <c r="J19" s="883"/>
      <c r="K19" s="883"/>
      <c r="L19" s="883"/>
      <c r="M19" s="882"/>
      <c r="N19" s="882"/>
      <c r="O19" s="882"/>
      <c r="P19" s="919"/>
      <c r="Q19" s="1386"/>
      <c r="R19" s="915" t="s">
        <v>102</v>
      </c>
      <c r="S19" s="915"/>
      <c r="T19" s="905">
        <v>0.11366605858732343</v>
      </c>
      <c r="U19" s="905">
        <v>3.19</v>
      </c>
      <c r="V19" s="905">
        <v>3.5631993287562204E-2</v>
      </c>
      <c r="W19" s="905">
        <v>28.2884214169279</v>
      </c>
      <c r="X19" s="905">
        <v>35.631993287562203</v>
      </c>
      <c r="Y19" s="906"/>
      <c r="Z19" s="906"/>
      <c r="AA19" s="905">
        <v>0.11030449583674418</v>
      </c>
      <c r="AB19" s="905">
        <v>3.19</v>
      </c>
      <c r="AC19" s="905">
        <v>3.4578211861048334E-2</v>
      </c>
      <c r="AD19" s="905">
        <v>28.2884214169279</v>
      </c>
      <c r="AE19" s="905">
        <v>34.578211861048331</v>
      </c>
      <c r="AF19" s="905">
        <v>37.99</v>
      </c>
      <c r="AG19" s="905">
        <v>0.10822824</v>
      </c>
      <c r="AH19" s="905">
        <v>8.6318160000000005E-2</v>
      </c>
      <c r="AI19" s="905">
        <v>9.0240064320000007E-2</v>
      </c>
      <c r="AJ19" s="905"/>
      <c r="AK19" s="905">
        <v>63.87786698076976</v>
      </c>
      <c r="AL19" s="905">
        <v>43.126673737219015</v>
      </c>
      <c r="AM19" s="905">
        <v>8.2949904240880343</v>
      </c>
      <c r="AN19" s="905">
        <v>28.639882804950144</v>
      </c>
      <c r="AO19" s="905"/>
      <c r="AP19" s="905">
        <v>33.927347962382449</v>
      </c>
      <c r="AQ19" s="905">
        <v>27.058984326018809</v>
      </c>
      <c r="AR19" s="905">
        <v>28.288421416927903</v>
      </c>
      <c r="AS19" s="922"/>
      <c r="AT19" s="922"/>
      <c r="AU19" s="922"/>
      <c r="AV19" s="922"/>
      <c r="AW19" s="922"/>
      <c r="AX19" s="922"/>
      <c r="AY19" s="922"/>
      <c r="AZ19" s="922"/>
      <c r="BA19" s="922"/>
      <c r="BB19" s="922"/>
      <c r="BC19" s="922"/>
      <c r="BD19" s="922"/>
      <c r="BE19" s="919"/>
      <c r="BF19" s="919"/>
      <c r="BG19" s="919"/>
      <c r="BH19" s="919"/>
      <c r="BI19" s="919"/>
      <c r="BJ19" s="919"/>
      <c r="BK19" s="919"/>
      <c r="BL19" s="883"/>
      <c r="BM19" s="883"/>
      <c r="BN19" s="883"/>
      <c r="BO19" s="883"/>
      <c r="BP19" s="883"/>
      <c r="BQ19" s="883"/>
      <c r="BR19" s="883"/>
      <c r="BS19" s="883"/>
      <c r="BT19" s="883"/>
      <c r="BU19" s="882"/>
      <c r="BV19" s="882"/>
    </row>
    <row r="20" spans="1:74" s="851" customFormat="1" x14ac:dyDescent="0.2">
      <c r="A20" s="891"/>
      <c r="B20" s="882"/>
      <c r="C20" s="882"/>
      <c r="D20" s="882"/>
      <c r="E20" s="882"/>
      <c r="F20" s="882"/>
      <c r="G20" s="882"/>
      <c r="H20" s="883"/>
      <c r="I20" s="883"/>
      <c r="J20" s="883"/>
      <c r="K20" s="883"/>
      <c r="L20" s="883"/>
      <c r="M20" s="882"/>
      <c r="N20" s="882"/>
      <c r="O20" s="882"/>
      <c r="P20" s="919"/>
      <c r="Q20" s="1386"/>
      <c r="R20" s="915" t="s">
        <v>106</v>
      </c>
      <c r="S20" s="915">
        <v>39142</v>
      </c>
      <c r="T20" s="905">
        <v>0.14675601129159488</v>
      </c>
      <c r="U20" s="905">
        <v>3.1840000000000002</v>
      </c>
      <c r="V20" s="905">
        <v>4.6091712089068738E-2</v>
      </c>
      <c r="W20" s="905">
        <v>28.355491356783919</v>
      </c>
      <c r="X20" s="905">
        <v>46.091712089068736</v>
      </c>
      <c r="Y20" s="906"/>
      <c r="Z20" s="906"/>
      <c r="AA20" s="905">
        <v>0.14675601129159488</v>
      </c>
      <c r="AB20" s="905">
        <v>3.1840000000000002</v>
      </c>
      <c r="AC20" s="905">
        <v>4.6091712089068738E-2</v>
      </c>
      <c r="AD20" s="905">
        <v>28.355491356783919</v>
      </c>
      <c r="AE20" s="905">
        <v>46.091712089068736</v>
      </c>
      <c r="AF20" s="905">
        <v>37.99</v>
      </c>
      <c r="AG20" s="905">
        <v>0.10822824</v>
      </c>
      <c r="AH20" s="905">
        <v>8.6318160000000005E-2</v>
      </c>
      <c r="AI20" s="905">
        <v>9.0283884479999993E-2</v>
      </c>
      <c r="AJ20" s="905"/>
      <c r="AK20" s="905">
        <v>86.70670136171637</v>
      </c>
      <c r="AL20" s="905">
        <v>51.191978086664321</v>
      </c>
      <c r="AM20" s="905">
        <v>14.719443936654503</v>
      </c>
      <c r="AN20" s="905">
        <v>35.899970179496357</v>
      </c>
      <c r="AO20" s="905"/>
      <c r="AP20" s="905">
        <v>33.991281407035174</v>
      </c>
      <c r="AQ20" s="905">
        <v>27.109974874371858</v>
      </c>
      <c r="AR20" s="905">
        <v>28.355491356783915</v>
      </c>
      <c r="AS20" s="922"/>
      <c r="AT20" s="922"/>
      <c r="AU20" s="922"/>
      <c r="AV20" s="922"/>
      <c r="AW20" s="922"/>
      <c r="AX20" s="922"/>
      <c r="AY20" s="922"/>
      <c r="AZ20" s="922"/>
      <c r="BA20" s="922"/>
      <c r="BB20" s="922"/>
      <c r="BC20" s="922"/>
      <c r="BD20" s="922"/>
      <c r="BE20" s="919"/>
      <c r="BF20" s="919"/>
      <c r="BG20" s="919"/>
      <c r="BH20" s="919"/>
      <c r="BI20" s="919"/>
      <c r="BJ20" s="919"/>
      <c r="BK20" s="919"/>
      <c r="BL20" s="883"/>
      <c r="BM20" s="883"/>
      <c r="BN20" s="883"/>
      <c r="BO20" s="883"/>
      <c r="BP20" s="883"/>
      <c r="BQ20" s="883"/>
      <c r="BR20" s="883"/>
      <c r="BS20" s="883"/>
      <c r="BT20" s="883"/>
      <c r="BU20" s="882"/>
      <c r="BV20" s="882"/>
    </row>
    <row r="21" spans="1:74" x14ac:dyDescent="0.2">
      <c r="A21" s="71"/>
      <c r="B21" s="70"/>
      <c r="C21" s="70"/>
      <c r="D21" s="70"/>
      <c r="E21" s="70"/>
      <c r="F21" s="70"/>
      <c r="G21" s="70"/>
      <c r="H21" s="72"/>
      <c r="I21" s="72"/>
      <c r="J21" s="72"/>
      <c r="K21" s="72"/>
      <c r="L21" s="72"/>
      <c r="M21" s="70"/>
      <c r="N21" s="70"/>
      <c r="O21" s="70"/>
      <c r="Q21" s="1386"/>
      <c r="R21" s="910" t="s">
        <v>107</v>
      </c>
      <c r="S21" s="910"/>
      <c r="T21" s="903">
        <v>0.1096257689706156</v>
      </c>
      <c r="U21" s="903">
        <v>3.1720000000000002</v>
      </c>
      <c r="V21" s="903">
        <v>3.4560456800320175E-2</v>
      </c>
      <c r="W21" s="903">
        <v>28.317708953341739</v>
      </c>
      <c r="X21" s="903">
        <v>34.560456800320175</v>
      </c>
      <c r="Y21" s="923"/>
      <c r="Z21" s="923"/>
      <c r="AA21" s="903">
        <v>0.1096257689706156</v>
      </c>
      <c r="AB21" s="903">
        <v>3.1720000000000002</v>
      </c>
      <c r="AC21" s="903">
        <v>3.4560456800320175E-2</v>
      </c>
      <c r="AD21" s="903">
        <v>28.317708953341739</v>
      </c>
      <c r="AE21" s="903">
        <v>34.560456800320175</v>
      </c>
      <c r="AF21" s="903">
        <v>37.99</v>
      </c>
      <c r="AG21" s="903">
        <v>0.10822824</v>
      </c>
      <c r="AH21" s="903">
        <v>8.6318160000000005E-2</v>
      </c>
      <c r="AI21" s="903">
        <v>8.9823772800000007E-2</v>
      </c>
      <c r="AJ21" s="903"/>
      <c r="AK21" s="903">
        <v>84.410357251237642</v>
      </c>
      <c r="AL21" s="903">
        <v>31.642311095727244</v>
      </c>
      <c r="AM21" s="903">
        <v>11.556323471016826</v>
      </c>
      <c r="AN21" s="903">
        <v>23.416736422315157</v>
      </c>
      <c r="AO21" s="903"/>
      <c r="AP21" s="903">
        <v>34.119873896595209</v>
      </c>
      <c r="AQ21" s="903">
        <v>27.212534678436317</v>
      </c>
      <c r="AR21" s="903">
        <v>28.317708953341739</v>
      </c>
      <c r="AS21" s="924"/>
      <c r="AT21" s="924"/>
      <c r="AU21" s="924"/>
      <c r="AV21" s="924"/>
      <c r="AW21" s="924"/>
      <c r="AX21" s="924"/>
      <c r="AY21" s="924"/>
      <c r="AZ21" s="924"/>
      <c r="BA21" s="924"/>
      <c r="BB21" s="924"/>
      <c r="BC21" s="924"/>
      <c r="BD21" s="924"/>
      <c r="BU21" s="70"/>
      <c r="BV21" s="70"/>
    </row>
    <row r="22" spans="1:74" x14ac:dyDescent="0.2">
      <c r="A22" s="71"/>
      <c r="B22" s="70"/>
      <c r="C22" s="70"/>
      <c r="D22" s="70"/>
      <c r="E22" s="70"/>
      <c r="F22" s="70"/>
      <c r="G22" s="70"/>
      <c r="H22" s="72"/>
      <c r="I22" s="72"/>
      <c r="J22" s="72"/>
      <c r="K22" s="72"/>
      <c r="L22" s="72"/>
      <c r="M22" s="70"/>
      <c r="N22" s="70"/>
      <c r="O22" s="70"/>
      <c r="Q22" s="1386"/>
      <c r="R22" s="910" t="s">
        <v>108</v>
      </c>
      <c r="S22" s="910">
        <v>39203</v>
      </c>
      <c r="T22" s="903">
        <v>0.11534907791311343</v>
      </c>
      <c r="U22" s="903">
        <v>3.1749999999999998</v>
      </c>
      <c r="V22" s="903">
        <v>3.6330418240350687E-2</v>
      </c>
      <c r="W22" s="903">
        <v>29.08938582677165</v>
      </c>
      <c r="X22" s="903">
        <v>36.330418240350689</v>
      </c>
      <c r="Y22" s="923"/>
      <c r="Z22" s="923"/>
      <c r="AA22" s="903">
        <v>0.11534844192251335</v>
      </c>
      <c r="AB22" s="903">
        <v>3.1749999999999998</v>
      </c>
      <c r="AC22" s="903">
        <v>3.6330217928350665E-2</v>
      </c>
      <c r="AD22" s="903">
        <v>29.194488188976372</v>
      </c>
      <c r="AE22" s="903">
        <v>36.330217928350663</v>
      </c>
      <c r="AF22" s="903">
        <v>37.99</v>
      </c>
      <c r="AG22" s="903">
        <v>0.12</v>
      </c>
      <c r="AH22" s="903">
        <v>8.6899999999999991E-2</v>
      </c>
      <c r="AI22" s="903">
        <v>9.2692499999999983E-2</v>
      </c>
      <c r="AJ22" s="903"/>
      <c r="AK22" s="903">
        <v>55.110809593848884</v>
      </c>
      <c r="AL22" s="903">
        <v>37.219963175818563</v>
      </c>
      <c r="AM22" s="903">
        <v>23.98365628136461</v>
      </c>
      <c r="AN22" s="903">
        <v>31.687950098277657</v>
      </c>
      <c r="AO22" s="903"/>
      <c r="AP22" s="903">
        <v>37.795275590551178</v>
      </c>
      <c r="AQ22" s="903">
        <v>27.370078740157478</v>
      </c>
      <c r="AR22" s="903">
        <v>29.194488188976372</v>
      </c>
      <c r="AS22" s="924"/>
      <c r="AT22" s="924"/>
      <c r="AU22" s="924"/>
      <c r="AV22" s="924"/>
      <c r="AW22" s="924"/>
      <c r="AX22" s="924"/>
      <c r="AY22" s="924"/>
      <c r="AZ22" s="924"/>
      <c r="BA22" s="924"/>
      <c r="BB22" s="924"/>
      <c r="BC22" s="924"/>
      <c r="BD22" s="924"/>
      <c r="BU22" s="70"/>
      <c r="BV22" s="70"/>
    </row>
    <row r="23" spans="1:74" x14ac:dyDescent="0.2">
      <c r="A23" s="71"/>
      <c r="B23" s="70"/>
      <c r="C23" s="70"/>
      <c r="D23" s="70"/>
      <c r="E23" s="70"/>
      <c r="F23" s="70"/>
      <c r="G23" s="70"/>
      <c r="H23" s="72"/>
      <c r="I23" s="72"/>
      <c r="J23" s="72"/>
      <c r="K23" s="72"/>
      <c r="L23" s="72"/>
      <c r="M23" s="70"/>
      <c r="N23" s="70"/>
      <c r="O23" s="70"/>
      <c r="Q23" s="1386"/>
      <c r="R23" s="910" t="s">
        <v>109</v>
      </c>
      <c r="S23" s="910"/>
      <c r="T23" s="911">
        <v>0.20849612193301884</v>
      </c>
      <c r="U23" s="911">
        <v>3.169</v>
      </c>
      <c r="V23" s="911">
        <v>6.579240199842816E-2</v>
      </c>
      <c r="W23" s="911">
        <v>29.239318396970649</v>
      </c>
      <c r="X23" s="911">
        <v>65.792401998428161</v>
      </c>
      <c r="Y23" s="907"/>
      <c r="Z23" s="907"/>
      <c r="AA23" s="903">
        <v>0.20739795198102629</v>
      </c>
      <c r="AB23" s="903">
        <v>3.169</v>
      </c>
      <c r="AC23" s="903">
        <v>6.5445866828976421E-2</v>
      </c>
      <c r="AD23" s="903">
        <v>29.239318396970649</v>
      </c>
      <c r="AE23" s="903">
        <v>65.44586682897642</v>
      </c>
      <c r="AF23" s="903">
        <v>37.99</v>
      </c>
      <c r="AG23" s="903">
        <v>0.12</v>
      </c>
      <c r="AH23" s="903">
        <v>8.6899999999999991E-2</v>
      </c>
      <c r="AI23" s="903">
        <v>9.2659399999999989E-2</v>
      </c>
      <c r="AJ23" s="903"/>
      <c r="AK23" s="903">
        <v>92.467820061331935</v>
      </c>
      <c r="AL23" s="903">
        <v>67.753745926775892</v>
      </c>
      <c r="AM23" s="903">
        <v>47.320947475335721</v>
      </c>
      <c r="AN23" s="903">
        <v>59.239908163544719</v>
      </c>
      <c r="AO23" s="903"/>
      <c r="AP23" s="903">
        <v>37.866834963710943</v>
      </c>
      <c r="AQ23" s="903">
        <v>27.421899652887344</v>
      </c>
      <c r="AR23" s="903">
        <v>29.239318396970653</v>
      </c>
      <c r="AS23" s="924"/>
      <c r="AT23" s="924"/>
      <c r="AU23" s="924"/>
      <c r="AV23" s="924"/>
      <c r="AW23" s="924"/>
      <c r="AX23" s="924"/>
      <c r="AY23" s="924"/>
      <c r="AZ23" s="924"/>
      <c r="BA23" s="924"/>
      <c r="BB23" s="924"/>
      <c r="BC23" s="924"/>
      <c r="BD23" s="924"/>
      <c r="BU23" s="70"/>
      <c r="BV23" s="70"/>
    </row>
    <row r="24" spans="1:74" x14ac:dyDescent="0.2">
      <c r="A24" s="70"/>
      <c r="B24" s="70"/>
      <c r="C24" s="70"/>
      <c r="D24" s="70"/>
      <c r="E24" s="70"/>
      <c r="F24" s="70"/>
      <c r="G24" s="70"/>
      <c r="H24" s="72"/>
      <c r="I24" s="72"/>
      <c r="J24" s="72"/>
      <c r="K24" s="72"/>
      <c r="L24" s="72"/>
      <c r="M24" s="70"/>
      <c r="N24" s="70"/>
      <c r="O24" s="70"/>
      <c r="Q24" s="1386"/>
      <c r="R24" s="910" t="s">
        <v>110</v>
      </c>
      <c r="S24" s="910">
        <v>39264</v>
      </c>
      <c r="T24" s="903">
        <v>8.8036436284661387E-2</v>
      </c>
      <c r="U24" s="903">
        <v>3.161</v>
      </c>
      <c r="V24" s="911">
        <v>2.7850818185593606E-2</v>
      </c>
      <c r="W24" s="911">
        <v>29.177190762416952</v>
      </c>
      <c r="X24" s="911">
        <v>27.850818185593607</v>
      </c>
      <c r="Y24" s="907"/>
      <c r="Z24" s="907"/>
      <c r="AA24" s="903">
        <v>8.3493147724094802E-2</v>
      </c>
      <c r="AB24" s="903">
        <v>3.161</v>
      </c>
      <c r="AC24" s="903">
        <v>2.6413523481206833E-2</v>
      </c>
      <c r="AD24" s="903">
        <v>29.177190762416952</v>
      </c>
      <c r="AE24" s="903">
        <v>26.413523481206834</v>
      </c>
      <c r="AF24" s="903">
        <v>37.99</v>
      </c>
      <c r="AG24" s="903">
        <v>0.12</v>
      </c>
      <c r="AH24" s="903">
        <v>8.6899999999999991E-2</v>
      </c>
      <c r="AI24" s="903">
        <v>9.2229099999999994E-2</v>
      </c>
      <c r="AJ24" s="903"/>
      <c r="AK24" s="903">
        <v>34.114612179215939</v>
      </c>
      <c r="AL24" s="903">
        <v>28.290546566559783</v>
      </c>
      <c r="AM24" s="903">
        <v>23.619906001402619</v>
      </c>
      <c r="AN24" s="903">
        <v>26.365718869492248</v>
      </c>
      <c r="AO24" s="903"/>
      <c r="AP24" s="903">
        <v>37.962670041126223</v>
      </c>
      <c r="AQ24" s="903">
        <v>27.491300221448903</v>
      </c>
      <c r="AR24" s="903">
        <v>29.177190762416956</v>
      </c>
      <c r="AU24" s="876"/>
      <c r="AV24" s="876"/>
      <c r="AW24" s="876"/>
      <c r="AX24" s="876"/>
      <c r="AY24" s="876"/>
      <c r="AZ24" s="876"/>
      <c r="BA24" s="876"/>
      <c r="BB24" s="876"/>
      <c r="BC24" s="876"/>
      <c r="BD24" s="876"/>
      <c r="BU24" s="70"/>
      <c r="BV24" s="70"/>
    </row>
    <row r="25" spans="1:74" x14ac:dyDescent="0.2">
      <c r="A25" s="70"/>
      <c r="B25" s="70"/>
      <c r="C25" s="70"/>
      <c r="D25" s="70"/>
      <c r="E25" s="70"/>
      <c r="F25" s="70"/>
      <c r="G25" s="70"/>
      <c r="H25" s="72"/>
      <c r="I25" s="72"/>
      <c r="J25" s="72"/>
      <c r="K25" s="72"/>
      <c r="L25" s="72"/>
      <c r="M25" s="70"/>
      <c r="N25" s="70"/>
      <c r="O25" s="70"/>
      <c r="Q25" s="1386"/>
      <c r="R25" s="910" t="s">
        <v>111</v>
      </c>
      <c r="S25" s="910"/>
      <c r="T25" s="911">
        <v>0.14278434944045829</v>
      </c>
      <c r="U25" s="911">
        <v>3.1629999999999998</v>
      </c>
      <c r="V25" s="911">
        <v>4.5142064318829687E-2</v>
      </c>
      <c r="W25" s="911">
        <v>30.829121087575086</v>
      </c>
      <c r="X25" s="911">
        <v>45.142064318829689</v>
      </c>
      <c r="Y25" s="907"/>
      <c r="Z25" s="907"/>
      <c r="AA25" s="903">
        <v>0.13820897846563815</v>
      </c>
      <c r="AB25" s="903">
        <v>3.1629999999999998</v>
      </c>
      <c r="AC25" s="903">
        <v>4.369553539855775E-2</v>
      </c>
      <c r="AD25" s="903">
        <v>30.829121087575086</v>
      </c>
      <c r="AE25" s="903">
        <v>43.695535398557752</v>
      </c>
      <c r="AF25" s="903">
        <v>37.99</v>
      </c>
      <c r="AG25" s="903">
        <v>0.12624000000000002</v>
      </c>
      <c r="AH25" s="903">
        <v>9.1418800000000008E-2</v>
      </c>
      <c r="AI25" s="903">
        <v>9.7512509999999997E-2</v>
      </c>
      <c r="AJ25" s="903"/>
      <c r="AK25" s="903">
        <v>52.68105948806901</v>
      </c>
      <c r="AL25" s="903">
        <v>48.960009237319966</v>
      </c>
      <c r="AM25" s="903">
        <v>35.275551273632374</v>
      </c>
      <c r="AN25" s="903">
        <v>43.302257459233218</v>
      </c>
      <c r="AO25" s="903"/>
      <c r="AP25" s="903">
        <v>39.911476446411648</v>
      </c>
      <c r="AQ25" s="903">
        <v>28.902560859943097</v>
      </c>
      <c r="AR25" s="903">
        <v>30.829121087575086</v>
      </c>
      <c r="AU25" s="876"/>
      <c r="AV25" s="876"/>
      <c r="AW25" s="876"/>
      <c r="AX25" s="876"/>
      <c r="AY25" s="876"/>
      <c r="AZ25" s="876"/>
      <c r="BA25" s="876"/>
      <c r="BB25" s="876"/>
      <c r="BC25" s="876"/>
      <c r="BD25" s="876"/>
      <c r="BU25" s="70"/>
      <c r="BV25" s="70"/>
    </row>
    <row r="26" spans="1:74" x14ac:dyDescent="0.2">
      <c r="A26" s="70"/>
      <c r="B26" s="70"/>
      <c r="C26" s="70"/>
      <c r="D26" s="70"/>
      <c r="E26" s="70"/>
      <c r="F26" s="70"/>
      <c r="G26" s="70"/>
      <c r="H26" s="72"/>
      <c r="I26" s="72"/>
      <c r="J26" s="72"/>
      <c r="K26" s="72"/>
      <c r="L26" s="72"/>
      <c r="M26" s="70"/>
      <c r="N26" s="70"/>
      <c r="O26" s="70"/>
      <c r="Q26" s="1386"/>
      <c r="R26" s="910" t="s">
        <v>116</v>
      </c>
      <c r="S26" s="910">
        <v>39326</v>
      </c>
      <c r="T26" s="903">
        <v>0.10650386404041466</v>
      </c>
      <c r="U26" s="903">
        <v>3.0870000000000002</v>
      </c>
      <c r="V26" s="903">
        <v>3.4500765805122985E-2</v>
      </c>
      <c r="W26" s="903">
        <v>31.655794363459666</v>
      </c>
      <c r="X26" s="903">
        <v>34.500765805122988</v>
      </c>
      <c r="Y26" s="923"/>
      <c r="Z26" s="923"/>
      <c r="AA26" s="903">
        <v>0.10617708844742382</v>
      </c>
      <c r="AB26" s="903">
        <v>3.0870000000000002</v>
      </c>
      <c r="AC26" s="903">
        <v>3.4394910413807524E-2</v>
      </c>
      <c r="AD26" s="903">
        <v>31.655794363459666</v>
      </c>
      <c r="AE26" s="903">
        <v>34.394910413807523</v>
      </c>
      <c r="AF26" s="903">
        <v>37.99</v>
      </c>
      <c r="AG26" s="903">
        <v>0.12624000000000002</v>
      </c>
      <c r="AH26" s="903">
        <v>9.1418800000000008E-2</v>
      </c>
      <c r="AI26" s="903">
        <v>9.7721437199999997E-2</v>
      </c>
      <c r="AJ26" s="903"/>
      <c r="AK26" s="903">
        <v>39.418079108855821</v>
      </c>
      <c r="AL26" s="903">
        <v>38.557294985520187</v>
      </c>
      <c r="AM26" s="903">
        <v>25.867286280760318</v>
      </c>
      <c r="AN26" s="903">
        <v>33.285500591073081</v>
      </c>
      <c r="AO26" s="903"/>
      <c r="AP26" s="903">
        <v>40.894071914480079</v>
      </c>
      <c r="AQ26" s="903">
        <v>29.614123744735991</v>
      </c>
      <c r="AR26" s="903">
        <v>31.655794363459666</v>
      </c>
      <c r="AU26" s="876"/>
      <c r="AV26" s="876"/>
      <c r="AW26" s="876"/>
      <c r="AX26" s="876"/>
      <c r="AY26" s="876"/>
      <c r="AZ26" s="876"/>
      <c r="BA26" s="876"/>
      <c r="BB26" s="876"/>
      <c r="BC26" s="876"/>
      <c r="BD26" s="876"/>
      <c r="BU26" s="70"/>
      <c r="BV26" s="70"/>
    </row>
    <row r="27" spans="1:74" x14ac:dyDescent="0.2">
      <c r="A27" s="70"/>
      <c r="B27" s="70"/>
      <c r="C27" s="70"/>
      <c r="D27" s="70"/>
      <c r="E27" s="70"/>
      <c r="F27" s="70"/>
      <c r="G27" s="70"/>
      <c r="H27" s="72"/>
      <c r="I27" s="72"/>
      <c r="J27" s="72"/>
      <c r="K27" s="72"/>
      <c r="L27" s="72"/>
      <c r="M27" s="70"/>
      <c r="N27" s="70"/>
      <c r="O27" s="70"/>
      <c r="Q27" s="1386"/>
      <c r="R27" s="910" t="s">
        <v>113</v>
      </c>
      <c r="S27" s="910"/>
      <c r="T27" s="911">
        <v>0.10654947040758003</v>
      </c>
      <c r="U27" s="911">
        <v>2.9980000000000002</v>
      </c>
      <c r="V27" s="911">
        <v>3.5540183591587733E-2</v>
      </c>
      <c r="W27" s="911">
        <v>32.525853902601732</v>
      </c>
      <c r="X27" s="911">
        <v>35.540183591587734</v>
      </c>
      <c r="Y27" s="907"/>
      <c r="Z27" s="907"/>
      <c r="AA27" s="903">
        <v>0.10654947040758003</v>
      </c>
      <c r="AB27" s="903">
        <v>2.9980000000000002</v>
      </c>
      <c r="AC27" s="903">
        <v>3.5540183591587733E-2</v>
      </c>
      <c r="AD27" s="903">
        <v>32.525853902601732</v>
      </c>
      <c r="AE27" s="903">
        <v>35.540183591587734</v>
      </c>
      <c r="AF27" s="903">
        <v>37.99</v>
      </c>
      <c r="AG27" s="903">
        <v>0.12624000000000002</v>
      </c>
      <c r="AH27" s="903">
        <v>9.1418800000000008E-2</v>
      </c>
      <c r="AI27" s="903">
        <v>9.7512509999999997E-2</v>
      </c>
      <c r="AJ27" s="903"/>
      <c r="AK27" s="903">
        <v>47.415229586215659</v>
      </c>
      <c r="AL27" s="903">
        <v>36.408862782438369</v>
      </c>
      <c r="AM27" s="903">
        <v>27.256822100990661</v>
      </c>
      <c r="AN27" s="903">
        <v>32.599284140435891</v>
      </c>
      <c r="AO27" s="903"/>
      <c r="AP27" s="903">
        <v>42.108072048032028</v>
      </c>
      <c r="AQ27" s="903">
        <v>30.493262174783187</v>
      </c>
      <c r="AR27" s="903">
        <v>32.525853902601732</v>
      </c>
      <c r="AU27" s="876"/>
      <c r="AV27" s="876"/>
      <c r="AW27" s="876"/>
      <c r="AX27" s="876"/>
      <c r="AY27" s="876"/>
      <c r="AZ27" s="876"/>
      <c r="BA27" s="876"/>
      <c r="BB27" s="876"/>
      <c r="BC27" s="876"/>
      <c r="BD27" s="876"/>
      <c r="BU27" s="70"/>
      <c r="BV27" s="70"/>
    </row>
    <row r="28" spans="1:74" x14ac:dyDescent="0.2">
      <c r="A28" s="70"/>
      <c r="B28" s="70"/>
      <c r="C28" s="70"/>
      <c r="D28" s="70"/>
      <c r="E28" s="70"/>
      <c r="F28" s="70"/>
      <c r="G28" s="70"/>
      <c r="H28" s="72"/>
      <c r="I28" s="72"/>
      <c r="J28" s="72"/>
      <c r="K28" s="72"/>
      <c r="L28" s="72"/>
      <c r="M28" s="70"/>
      <c r="N28" s="70"/>
      <c r="O28" s="70"/>
      <c r="Q28" s="1386"/>
      <c r="R28" s="910" t="s">
        <v>114</v>
      </c>
      <c r="S28" s="910">
        <v>39387</v>
      </c>
      <c r="T28" s="903">
        <v>8.8569072323812628E-2</v>
      </c>
      <c r="U28" s="903">
        <v>3</v>
      </c>
      <c r="V28" s="903">
        <v>2.9523024107937543E-2</v>
      </c>
      <c r="W28" s="903">
        <v>30.674585505333329</v>
      </c>
      <c r="X28" s="903">
        <v>29.523024107937541</v>
      </c>
      <c r="Y28" s="923"/>
      <c r="Z28" s="923"/>
      <c r="AA28" s="903">
        <v>8.8269287571285021E-2</v>
      </c>
      <c r="AB28" s="903">
        <v>3</v>
      </c>
      <c r="AC28" s="903">
        <v>2.9423095857095006E-2</v>
      </c>
      <c r="AD28" s="903">
        <v>30.674585505333329</v>
      </c>
      <c r="AE28" s="903">
        <v>29.423095857095007</v>
      </c>
      <c r="AF28" s="903">
        <v>37.99</v>
      </c>
      <c r="AG28" s="903">
        <v>0.1191768</v>
      </c>
      <c r="AH28" s="903">
        <v>8.6303865999999993E-2</v>
      </c>
      <c r="AI28" s="903">
        <v>9.2023756515999991E-2</v>
      </c>
      <c r="AJ28" s="903"/>
      <c r="AK28" s="903">
        <v>40.125211396541317</v>
      </c>
      <c r="AL28" s="903">
        <v>31.104740488913265</v>
      </c>
      <c r="AM28" s="903">
        <v>20.994414197701659</v>
      </c>
      <c r="AN28" s="903">
        <v>26.913107466759634</v>
      </c>
      <c r="AO28" s="903"/>
      <c r="AP28" s="903">
        <v>39.7256</v>
      </c>
      <c r="AQ28" s="903">
        <v>28.76795533333333</v>
      </c>
      <c r="AR28" s="903">
        <v>30.674585505333333</v>
      </c>
      <c r="AU28" s="876"/>
      <c r="AV28" s="876"/>
      <c r="AW28" s="876"/>
      <c r="AX28" s="876"/>
      <c r="AY28" s="876"/>
      <c r="AZ28" s="876"/>
      <c r="BA28" s="876"/>
      <c r="BB28" s="876"/>
      <c r="BC28" s="876"/>
      <c r="BD28" s="876"/>
      <c r="BU28" s="70"/>
      <c r="BV28" s="70"/>
    </row>
    <row r="29" spans="1:74" ht="13.5" thickBot="1" x14ac:dyDescent="0.25">
      <c r="A29" s="70"/>
      <c r="B29" s="70"/>
      <c r="C29" s="70"/>
      <c r="D29" s="70"/>
      <c r="E29" s="70"/>
      <c r="F29" s="70"/>
      <c r="G29" s="70"/>
      <c r="H29" s="72"/>
      <c r="I29" s="72"/>
      <c r="J29" s="72"/>
      <c r="K29" s="72"/>
      <c r="L29" s="72"/>
      <c r="M29" s="70"/>
      <c r="N29" s="70"/>
      <c r="O29" s="70"/>
      <c r="Q29" s="1387"/>
      <c r="R29" s="1114" t="s">
        <v>115</v>
      </c>
      <c r="S29" s="1114"/>
      <c r="T29" s="1123">
        <v>0.13228707924114408</v>
      </c>
      <c r="U29" s="1123">
        <v>2.9969999999999999</v>
      </c>
      <c r="V29" s="1123">
        <v>4.4139832913294659E-2</v>
      </c>
      <c r="W29" s="1115">
        <v>30.361438124791459</v>
      </c>
      <c r="X29" s="1115">
        <v>44.139832913294661</v>
      </c>
      <c r="Y29" s="1125"/>
      <c r="Z29" s="1125"/>
      <c r="AA29" s="1119">
        <v>0.13228707924114408</v>
      </c>
      <c r="AB29" s="1119">
        <v>2.9969999999999999</v>
      </c>
      <c r="AC29" s="1119">
        <v>4.4139832913294659E-2</v>
      </c>
      <c r="AD29" s="1119">
        <v>30.361438124791459</v>
      </c>
      <c r="AE29" s="1119">
        <v>44.139832913294661</v>
      </c>
      <c r="AF29" s="1119">
        <v>37.99</v>
      </c>
      <c r="AG29" s="1119">
        <v>0.118392</v>
      </c>
      <c r="AH29" s="1119">
        <v>8.5735539999999999E-2</v>
      </c>
      <c r="AI29" s="1119">
        <v>9.0993230059999999E-2</v>
      </c>
      <c r="AJ29" s="1119"/>
      <c r="AK29" s="1119">
        <v>57.712881987812459</v>
      </c>
      <c r="AL29" s="1119">
        <v>43.090979915322343</v>
      </c>
      <c r="AM29" s="1119">
        <v>38.20707490996589</v>
      </c>
      <c r="AN29" s="1119">
        <v>41.074696210360919</v>
      </c>
      <c r="AO29" s="1119"/>
      <c r="AP29" s="1119">
        <v>39.503503503503502</v>
      </c>
      <c r="AQ29" s="1119">
        <v>28.607120453787122</v>
      </c>
      <c r="AR29" s="1119">
        <v>30.361438124791459</v>
      </c>
      <c r="AU29" s="876"/>
      <c r="AV29" s="876"/>
      <c r="AW29" s="876"/>
      <c r="AX29" s="876"/>
      <c r="AY29" s="876"/>
      <c r="AZ29" s="876"/>
      <c r="BA29" s="876"/>
      <c r="BB29" s="876"/>
      <c r="BC29" s="876"/>
      <c r="BD29" s="876"/>
      <c r="BU29" s="70"/>
      <c r="BV29" s="70"/>
    </row>
    <row r="30" spans="1:74" ht="13.5" thickTop="1" x14ac:dyDescent="0.2">
      <c r="A30" s="70"/>
      <c r="B30" s="70"/>
      <c r="C30" s="70"/>
      <c r="D30" s="70"/>
      <c r="E30" s="70"/>
      <c r="F30" s="70"/>
      <c r="G30" s="70"/>
      <c r="H30" s="72"/>
      <c r="I30" s="72"/>
      <c r="J30" s="72"/>
      <c r="K30" s="72"/>
      <c r="L30" s="72"/>
      <c r="M30" s="70"/>
      <c r="N30" s="70"/>
      <c r="O30" s="70"/>
      <c r="Q30" s="1386">
        <v>2008</v>
      </c>
      <c r="R30" s="910" t="s">
        <v>97</v>
      </c>
      <c r="S30" s="910">
        <v>39448</v>
      </c>
      <c r="T30" s="911">
        <v>5.1074231786053269E-2</v>
      </c>
      <c r="U30" s="912">
        <v>2.9340000000000002</v>
      </c>
      <c r="V30" s="911">
        <v>1.7407713628511678E-2</v>
      </c>
      <c r="W30" s="911">
        <v>29.172818808628531</v>
      </c>
      <c r="X30" s="911">
        <v>17.407713628511679</v>
      </c>
      <c r="Y30" s="907"/>
      <c r="Z30" s="907"/>
      <c r="AA30" s="903">
        <v>5.1026700001078826E-2</v>
      </c>
      <c r="AB30" s="903">
        <v>2.9340000000000002</v>
      </c>
      <c r="AC30" s="903">
        <v>1.7391513292801235E-2</v>
      </c>
      <c r="AD30" s="903">
        <v>29.172818808628531</v>
      </c>
      <c r="AE30" s="903">
        <v>17.391513292801235</v>
      </c>
      <c r="AF30" s="903">
        <v>88.475999999999999</v>
      </c>
      <c r="AG30" s="903">
        <v>0.11108670967741935</v>
      </c>
      <c r="AH30" s="903">
        <v>8.0445292258064516E-2</v>
      </c>
      <c r="AI30" s="903">
        <v>8.5593050384516117E-2</v>
      </c>
      <c r="AJ30" s="903"/>
      <c r="AK30" s="903">
        <v>28.628352403699481</v>
      </c>
      <c r="AL30" s="903">
        <v>20.488678636264382</v>
      </c>
      <c r="AM30" s="903">
        <v>6.8324136009684366</v>
      </c>
      <c r="AN30" s="903">
        <v>14.919641120484528</v>
      </c>
      <c r="AO30" s="903"/>
      <c r="AP30" s="903">
        <v>37.861864239065895</v>
      </c>
      <c r="AQ30" s="903">
        <v>27.41830001979022</v>
      </c>
      <c r="AR30" s="903">
        <v>29.172818808628531</v>
      </c>
      <c r="AU30" s="876"/>
      <c r="AV30" s="876"/>
      <c r="AW30" s="876"/>
      <c r="AX30" s="876"/>
      <c r="AY30" s="876"/>
      <c r="AZ30" s="876"/>
      <c r="BA30" s="876"/>
      <c r="BB30" s="876"/>
      <c r="BC30" s="876"/>
      <c r="BD30" s="876"/>
      <c r="BU30" s="70"/>
      <c r="BV30" s="70"/>
    </row>
    <row r="31" spans="1:74" x14ac:dyDescent="0.2">
      <c r="A31" s="70"/>
      <c r="B31" s="70"/>
      <c r="C31" s="70"/>
      <c r="D31" s="70"/>
      <c r="E31" s="70"/>
      <c r="F31" s="70"/>
      <c r="G31" s="70"/>
      <c r="H31" s="72"/>
      <c r="I31" s="72"/>
      <c r="J31" s="72"/>
      <c r="K31" s="72"/>
      <c r="L31" s="72"/>
      <c r="M31" s="70"/>
      <c r="N31" s="70"/>
      <c r="O31" s="70"/>
      <c r="Q31" s="1386"/>
      <c r="R31" s="910" t="s">
        <v>102</v>
      </c>
      <c r="S31" s="910"/>
      <c r="T31" s="911">
        <v>5.2998262966412912E-2</v>
      </c>
      <c r="U31" s="912">
        <v>2.887</v>
      </c>
      <c r="V31" s="911">
        <v>1.8357555582408352E-2</v>
      </c>
      <c r="W31" s="911">
        <v>29.438852566678214</v>
      </c>
      <c r="X31" s="911">
        <v>18.357555582408352</v>
      </c>
      <c r="Y31" s="907"/>
      <c r="Z31" s="907"/>
      <c r="AA31" s="903">
        <v>5.2928965969290545E-2</v>
      </c>
      <c r="AB31" s="903">
        <v>2.887</v>
      </c>
      <c r="AC31" s="903">
        <v>1.8333552465982176E-2</v>
      </c>
      <c r="AD31" s="903">
        <v>29.618012192587461</v>
      </c>
      <c r="AE31" s="903">
        <v>18.333552465982176</v>
      </c>
      <c r="AF31" s="903">
        <v>88.475999999999999</v>
      </c>
      <c r="AG31" s="903">
        <v>0.110304</v>
      </c>
      <c r="AH31" s="903">
        <v>7.9878480000000002E-2</v>
      </c>
      <c r="AI31" s="903">
        <v>8.5507201199999994E-2</v>
      </c>
      <c r="AJ31" s="903"/>
      <c r="AK31" s="903">
        <v>29.899024746953934</v>
      </c>
      <c r="AL31" s="903">
        <v>21.770714172709798</v>
      </c>
      <c r="AM31" s="903">
        <v>6.6206929442341815</v>
      </c>
      <c r="AN31" s="903">
        <v>15.464672066646298</v>
      </c>
      <c r="AO31" s="903"/>
      <c r="AP31" s="903">
        <v>38.207135434707311</v>
      </c>
      <c r="AQ31" s="903">
        <v>27.668333910633876</v>
      </c>
      <c r="AR31" s="903">
        <v>29.618012192587457</v>
      </c>
      <c r="AU31" s="876"/>
      <c r="AV31" s="876"/>
      <c r="AW31" s="876"/>
      <c r="AX31" s="876"/>
      <c r="AY31" s="876"/>
      <c r="AZ31" s="876"/>
      <c r="BA31" s="876"/>
      <c r="BB31" s="876"/>
      <c r="BC31" s="876"/>
      <c r="BD31" s="876"/>
      <c r="BU31" s="70"/>
      <c r="BV31" s="70"/>
    </row>
    <row r="32" spans="1:74" x14ac:dyDescent="0.2">
      <c r="A32" s="70"/>
      <c r="B32" s="70"/>
      <c r="C32" s="70"/>
      <c r="D32" s="70"/>
      <c r="E32" s="70"/>
      <c r="F32" s="70"/>
      <c r="G32" s="70"/>
      <c r="H32" s="72"/>
      <c r="I32" s="72"/>
      <c r="J32" s="72"/>
      <c r="K32" s="72"/>
      <c r="L32" s="72"/>
      <c r="M32" s="70"/>
      <c r="N32" s="70"/>
      <c r="O32" s="70"/>
      <c r="Q32" s="1386"/>
      <c r="R32" s="910" t="s">
        <v>106</v>
      </c>
      <c r="S32" s="910">
        <v>39508</v>
      </c>
      <c r="T32" s="911">
        <v>5.7377030748034089E-2</v>
      </c>
      <c r="U32" s="912">
        <v>2.746</v>
      </c>
      <c r="V32" s="911">
        <v>2.0894767206130403E-2</v>
      </c>
      <c r="W32" s="911">
        <v>31.094500772032049</v>
      </c>
      <c r="X32" s="911">
        <v>20.894767206130403</v>
      </c>
      <c r="Y32" s="907"/>
      <c r="Z32" s="907"/>
      <c r="AA32" s="903">
        <v>5.7232547024589943E-2</v>
      </c>
      <c r="AB32" s="903">
        <v>2.746</v>
      </c>
      <c r="AC32" s="903">
        <v>2.0842151137869608E-2</v>
      </c>
      <c r="AD32" s="903">
        <v>31.094500772032049</v>
      </c>
      <c r="AE32" s="903">
        <v>20.842151137869607</v>
      </c>
      <c r="AF32" s="903">
        <v>88.475999999999999</v>
      </c>
      <c r="AG32" s="903">
        <v>0.110304</v>
      </c>
      <c r="AH32" s="903">
        <v>7.9878480000000002E-2</v>
      </c>
      <c r="AI32" s="903">
        <v>8.538549912E-2</v>
      </c>
      <c r="AJ32" s="903"/>
      <c r="AK32" s="903">
        <v>43.406977631153154</v>
      </c>
      <c r="AL32" s="903">
        <v>21.870782449369159</v>
      </c>
      <c r="AM32" s="903">
        <v>7.1353083629032188</v>
      </c>
      <c r="AN32" s="903">
        <v>15.842323324351113</v>
      </c>
      <c r="AO32" s="903"/>
      <c r="AP32" s="903">
        <v>40.168973051711582</v>
      </c>
      <c r="AQ32" s="903">
        <v>29.089031318281137</v>
      </c>
      <c r="AR32" s="903">
        <v>31.094500772032045</v>
      </c>
      <c r="AU32" s="876"/>
      <c r="AV32" s="876"/>
      <c r="AW32" s="876"/>
      <c r="AX32" s="876"/>
      <c r="AY32" s="876"/>
      <c r="AZ32" s="876"/>
      <c r="BA32" s="876"/>
      <c r="BB32" s="876"/>
      <c r="BC32" s="876"/>
      <c r="BD32" s="876"/>
      <c r="BU32" s="70"/>
      <c r="BV32" s="70"/>
    </row>
    <row r="33" spans="1:74" x14ac:dyDescent="0.2">
      <c r="A33" s="70"/>
      <c r="B33" s="70"/>
      <c r="C33" s="70"/>
      <c r="D33" s="70"/>
      <c r="E33" s="70"/>
      <c r="F33" s="70"/>
      <c r="G33" s="70"/>
      <c r="H33" s="72"/>
      <c r="I33" s="72"/>
      <c r="J33" s="72"/>
      <c r="K33" s="72"/>
      <c r="L33" s="72"/>
      <c r="M33" s="70"/>
      <c r="N33" s="70"/>
      <c r="O33" s="70"/>
      <c r="Q33" s="1386"/>
      <c r="R33" s="910" t="s">
        <v>107</v>
      </c>
      <c r="S33" s="910"/>
      <c r="T33" s="911">
        <v>5.9593660669392708E-2</v>
      </c>
      <c r="U33" s="912">
        <v>2.851</v>
      </c>
      <c r="V33" s="911">
        <v>2.0902722086774014E-2</v>
      </c>
      <c r="W33" s="911">
        <v>29.116926145212208</v>
      </c>
      <c r="X33" s="911">
        <v>20.902722086774013</v>
      </c>
      <c r="Y33" s="907"/>
      <c r="Z33" s="907"/>
      <c r="AA33" s="903">
        <v>5.9593660669392708E-2</v>
      </c>
      <c r="AB33" s="903">
        <v>2.851</v>
      </c>
      <c r="AC33" s="903">
        <v>2.0902722086774014E-2</v>
      </c>
      <c r="AD33" s="903">
        <v>29.116926145212208</v>
      </c>
      <c r="AE33" s="903">
        <v>20.902722086774013</v>
      </c>
      <c r="AF33" s="903">
        <v>88.475999999999999</v>
      </c>
      <c r="AG33" s="903">
        <v>0.1080468</v>
      </c>
      <c r="AH33" s="903">
        <v>7.824389100000001E-2</v>
      </c>
      <c r="AI33" s="903">
        <v>8.3012356440000004E-2</v>
      </c>
      <c r="AJ33" s="903"/>
      <c r="AK33" s="903">
        <v>32.20259927079546</v>
      </c>
      <c r="AL33" s="903">
        <v>24.726108384240973</v>
      </c>
      <c r="AM33" s="903">
        <v>8.6938425552301961</v>
      </c>
      <c r="AN33" s="903">
        <v>18.008775493540135</v>
      </c>
      <c r="AO33" s="903"/>
      <c r="AP33" s="903">
        <v>37.897860399859702</v>
      </c>
      <c r="AQ33" s="903">
        <v>27.444367239565072</v>
      </c>
      <c r="AR33" s="903">
        <v>29.116926145212208</v>
      </c>
      <c r="AS33" s="907"/>
      <c r="AT33" s="907"/>
      <c r="AU33" s="876"/>
      <c r="AV33" s="876"/>
      <c r="AW33" s="876"/>
      <c r="AX33" s="876"/>
      <c r="AY33" s="876"/>
      <c r="AZ33" s="876"/>
      <c r="BA33" s="876"/>
      <c r="BB33" s="876"/>
      <c r="BC33" s="876"/>
      <c r="BD33" s="876"/>
      <c r="BU33" s="70"/>
      <c r="BV33" s="70"/>
    </row>
    <row r="34" spans="1:74" x14ac:dyDescent="0.2">
      <c r="A34" s="70"/>
      <c r="B34" s="70"/>
      <c r="C34" s="70"/>
      <c r="D34" s="70"/>
      <c r="E34" s="70"/>
      <c r="F34" s="70"/>
      <c r="G34" s="70"/>
      <c r="H34" s="72"/>
      <c r="I34" s="72"/>
      <c r="J34" s="72"/>
      <c r="K34" s="72"/>
      <c r="L34" s="72"/>
      <c r="M34" s="70"/>
      <c r="N34" s="70"/>
      <c r="O34" s="70"/>
      <c r="Q34" s="1386"/>
      <c r="R34" s="910" t="s">
        <v>108</v>
      </c>
      <c r="S34" s="910">
        <v>39569</v>
      </c>
      <c r="T34" s="911">
        <v>0.1361700358496622</v>
      </c>
      <c r="U34" s="911">
        <v>2.8450000000000002</v>
      </c>
      <c r="V34" s="911">
        <v>4.786292999988126E-2</v>
      </c>
      <c r="W34" s="911">
        <v>31.930685843868687</v>
      </c>
      <c r="X34" s="911">
        <v>47.86292999988126</v>
      </c>
      <c r="Y34" s="907"/>
      <c r="Z34" s="907"/>
      <c r="AA34" s="903">
        <v>0.13617003346289214</v>
      </c>
      <c r="AB34" s="903">
        <v>2.8450000000000002</v>
      </c>
      <c r="AC34" s="903">
        <v>4.7862929160946269E-2</v>
      </c>
      <c r="AD34" s="903">
        <v>31.90333919156414</v>
      </c>
      <c r="AE34" s="903">
        <v>47.862929160946265</v>
      </c>
      <c r="AF34" s="903">
        <v>88.475999999999999</v>
      </c>
      <c r="AG34" s="903">
        <v>0.11699999999999999</v>
      </c>
      <c r="AH34" s="903">
        <v>8.5199999999999998E-2</v>
      </c>
      <c r="AI34" s="903">
        <v>9.0764999999999985E-2</v>
      </c>
      <c r="AJ34" s="903"/>
      <c r="AK34" s="903">
        <v>56.115550730506335</v>
      </c>
      <c r="AL34" s="903">
        <v>47.278471211604277</v>
      </c>
      <c r="AM34" s="903">
        <v>43.768414203738089</v>
      </c>
      <c r="AN34" s="903">
        <v>45.813329945002664</v>
      </c>
      <c r="AO34" s="903"/>
      <c r="AP34" s="903">
        <v>41.124780316344456</v>
      </c>
      <c r="AQ34" s="903">
        <v>29.947275922671352</v>
      </c>
      <c r="AR34" s="903">
        <v>31.903339191564143</v>
      </c>
      <c r="AU34" s="876"/>
      <c r="AV34" s="876"/>
      <c r="AW34" s="876"/>
      <c r="AX34" s="876"/>
      <c r="AY34" s="876"/>
      <c r="AZ34" s="876"/>
      <c r="BA34" s="876"/>
      <c r="BB34" s="876"/>
      <c r="BC34" s="876"/>
      <c r="BD34" s="876"/>
      <c r="BU34" s="70"/>
      <c r="BV34" s="70"/>
    </row>
    <row r="35" spans="1:74" x14ac:dyDescent="0.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Q35" s="1386"/>
      <c r="R35" s="910" t="s">
        <v>109</v>
      </c>
      <c r="S35" s="910"/>
      <c r="T35" s="903">
        <v>0.45801336020341821</v>
      </c>
      <c r="U35" s="903">
        <v>2.9670000000000001</v>
      </c>
      <c r="V35" s="903">
        <v>0.15436918105946013</v>
      </c>
      <c r="W35" s="903">
        <v>32.014721856420621</v>
      </c>
      <c r="X35" s="903">
        <v>154.36918105946012</v>
      </c>
      <c r="Y35" s="923"/>
      <c r="Z35" s="923"/>
      <c r="AA35" s="903">
        <v>0.44164508191807217</v>
      </c>
      <c r="AB35" s="903">
        <v>2.9670000000000001</v>
      </c>
      <c r="AC35" s="903">
        <v>0.14885240374724373</v>
      </c>
      <c r="AD35" s="903">
        <v>32.014721856420621</v>
      </c>
      <c r="AE35" s="903">
        <v>148.85240374724373</v>
      </c>
      <c r="AF35" s="903">
        <v>88.475999999999999</v>
      </c>
      <c r="AG35" s="903">
        <v>0.12248612999999998</v>
      </c>
      <c r="AH35" s="903">
        <v>8.9195027999999996E-2</v>
      </c>
      <c r="AI35" s="903">
        <v>9.4987679747999987E-2</v>
      </c>
      <c r="AJ35" s="903"/>
      <c r="AK35" s="903">
        <v>176.42934408531977</v>
      </c>
      <c r="AL35" s="903">
        <v>159.14273826981474</v>
      </c>
      <c r="AM35" s="903">
        <v>134.59165614310615</v>
      </c>
      <c r="AN35" s="903">
        <v>148.94599360955212</v>
      </c>
      <c r="AO35" s="903"/>
      <c r="AP35" s="903">
        <v>41.282821031344788</v>
      </c>
      <c r="AQ35" s="903">
        <v>30.062361981799796</v>
      </c>
      <c r="AR35" s="903">
        <v>32.014721856420621</v>
      </c>
      <c r="AU35" s="876"/>
      <c r="AV35" s="876"/>
      <c r="AW35" s="876"/>
      <c r="AX35" s="876"/>
      <c r="AY35" s="876"/>
      <c r="AZ35" s="876"/>
      <c r="BA35" s="876"/>
      <c r="BB35" s="876"/>
      <c r="BC35" s="876"/>
      <c r="BD35" s="876"/>
      <c r="BU35" s="70"/>
      <c r="BV35" s="70"/>
    </row>
    <row r="36" spans="1:74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Q36" s="1386"/>
      <c r="R36" s="910" t="s">
        <v>110</v>
      </c>
      <c r="S36" s="910">
        <v>39630</v>
      </c>
      <c r="T36" s="903">
        <v>0.66444270530669847</v>
      </c>
      <c r="U36" s="903">
        <v>2.8159999999999998</v>
      </c>
      <c r="V36" s="903">
        <v>0.23595266523675373</v>
      </c>
      <c r="W36" s="903">
        <v>35.746655723286295</v>
      </c>
      <c r="X36" s="903">
        <v>235.95266523675375</v>
      </c>
      <c r="Y36" s="925"/>
      <c r="Z36" s="925"/>
      <c r="AA36" s="903">
        <v>0.66283652659743808</v>
      </c>
      <c r="AB36" s="903">
        <v>2.8159999999999998</v>
      </c>
      <c r="AC36" s="903">
        <v>0.23538228927465843</v>
      </c>
      <c r="AD36" s="903">
        <v>35.746655723286295</v>
      </c>
      <c r="AE36" s="903">
        <v>235.38228927465843</v>
      </c>
      <c r="AF36" s="903">
        <v>88.475999999999999</v>
      </c>
      <c r="AG36" s="903">
        <v>0.13039800967741932</v>
      </c>
      <c r="AH36" s="903">
        <v>9.4956499354838714E-2</v>
      </c>
      <c r="AI36" s="903">
        <v>0.10066258251677419</v>
      </c>
      <c r="AJ36" s="903"/>
      <c r="AK36" s="903">
        <v>254.71948740343865</v>
      </c>
      <c r="AL36" s="903">
        <v>242.77697874845575</v>
      </c>
      <c r="AM36" s="903">
        <v>215.36712711656449</v>
      </c>
      <c r="AN36" s="903">
        <v>231.47460456002889</v>
      </c>
      <c r="AO36" s="903"/>
      <c r="AP36" s="903">
        <v>46.306111391129022</v>
      </c>
      <c r="AQ36" s="903">
        <v>33.720347782258067</v>
      </c>
      <c r="AR36" s="903">
        <v>35.746655723286295</v>
      </c>
      <c r="AU36" s="876"/>
      <c r="AV36" s="876"/>
      <c r="AW36" s="876"/>
      <c r="AX36" s="876"/>
      <c r="AY36" s="876"/>
      <c r="AZ36" s="876"/>
      <c r="BA36" s="876"/>
      <c r="BB36" s="876"/>
      <c r="BC36" s="876"/>
      <c r="BD36" s="876"/>
      <c r="BU36" s="70"/>
      <c r="BV36" s="70"/>
    </row>
    <row r="37" spans="1:74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Q37" s="1386"/>
      <c r="R37" s="910" t="s">
        <v>111</v>
      </c>
      <c r="S37" s="910"/>
      <c r="T37" s="903">
        <v>0.57786010446828262</v>
      </c>
      <c r="U37" s="903">
        <v>2.9529999999999998</v>
      </c>
      <c r="V37" s="903">
        <v>0.19568577868888679</v>
      </c>
      <c r="W37" s="903">
        <v>33.60951316867483</v>
      </c>
      <c r="X37" s="903">
        <v>195.68577868888678</v>
      </c>
      <c r="Y37" s="923"/>
      <c r="Z37" s="923"/>
      <c r="AA37" s="903">
        <v>0.46620729236866021</v>
      </c>
      <c r="AB37" s="903">
        <v>2.9529999999999998</v>
      </c>
      <c r="AC37" s="903">
        <v>0.15787581861451414</v>
      </c>
      <c r="AD37" s="903">
        <v>33.60951316867483</v>
      </c>
      <c r="AE37" s="903">
        <v>157.87581861451415</v>
      </c>
      <c r="AF37" s="903">
        <v>88.475999999999999</v>
      </c>
      <c r="AG37" s="903">
        <v>0.12793610322580645</v>
      </c>
      <c r="AH37" s="903">
        <v>9.3163726451612902E-2</v>
      </c>
      <c r="AI37" s="903">
        <v>9.9248892387096777E-2</v>
      </c>
      <c r="AJ37" s="903"/>
      <c r="AK37" s="903">
        <v>175.55176532888458</v>
      </c>
      <c r="AL37" s="903">
        <v>161.23677450539029</v>
      </c>
      <c r="AM37" s="903">
        <v>142.97758121365868</v>
      </c>
      <c r="AN37" s="903">
        <v>153.72389409422635</v>
      </c>
      <c r="AO37" s="903"/>
      <c r="AP37" s="903">
        <v>43.324112165867405</v>
      </c>
      <c r="AQ37" s="903">
        <v>31.54884065411883</v>
      </c>
      <c r="AR37" s="903">
        <v>33.60951316867483</v>
      </c>
      <c r="AU37" s="876"/>
      <c r="AV37" s="876"/>
      <c r="AW37" s="876"/>
      <c r="AX37" s="876"/>
      <c r="AY37" s="876"/>
      <c r="AZ37" s="876"/>
      <c r="BA37" s="876"/>
      <c r="BB37" s="876"/>
      <c r="BC37" s="876"/>
      <c r="BD37" s="876"/>
      <c r="BU37" s="70"/>
      <c r="BV37" s="70"/>
    </row>
    <row r="38" spans="1:74" x14ac:dyDescent="0.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Q38" s="1386"/>
      <c r="R38" s="910" t="s">
        <v>112</v>
      </c>
      <c r="S38" s="910">
        <v>39692</v>
      </c>
      <c r="T38" s="903">
        <v>0.5513644490306141</v>
      </c>
      <c r="U38" s="903">
        <v>2.9769999999999999</v>
      </c>
      <c r="V38" s="903">
        <v>0.18520807827699501</v>
      </c>
      <c r="W38" s="903">
        <v>36.175186192139734</v>
      </c>
      <c r="X38" s="903">
        <v>185.208078276995</v>
      </c>
      <c r="Y38" s="923"/>
      <c r="Z38" s="923"/>
      <c r="AA38" s="903">
        <v>0.5513644490306141</v>
      </c>
      <c r="AB38" s="903">
        <v>2.9769999999999999</v>
      </c>
      <c r="AC38" s="903">
        <v>0.18520807827699501</v>
      </c>
      <c r="AD38" s="903">
        <v>36.175186192139734</v>
      </c>
      <c r="AE38" s="903">
        <v>185.208078276995</v>
      </c>
      <c r="AF38" s="903">
        <v>88.475999999999999</v>
      </c>
      <c r="AG38" s="903">
        <v>0.14207348999999997</v>
      </c>
      <c r="AH38" s="903">
        <v>0.100095516</v>
      </c>
      <c r="AI38" s="903">
        <v>0.10769352929399999</v>
      </c>
      <c r="AJ38" s="903"/>
      <c r="AK38" s="903">
        <v>193.56685691364774</v>
      </c>
      <c r="AL38" s="903">
        <v>194.57415305578004</v>
      </c>
      <c r="AM38" s="903">
        <v>167.05658770952849</v>
      </c>
      <c r="AN38" s="903">
        <v>183.06960867729518</v>
      </c>
      <c r="AO38" s="903"/>
      <c r="AP38" s="903">
        <v>47.723711790393004</v>
      </c>
      <c r="AQ38" s="903">
        <v>33.622947934161907</v>
      </c>
      <c r="AR38" s="903">
        <v>36.175186192139734</v>
      </c>
      <c r="AU38" s="876"/>
      <c r="AV38" s="876"/>
      <c r="AW38" s="876"/>
      <c r="AX38" s="876"/>
      <c r="AY38" s="876"/>
      <c r="AZ38" s="876"/>
      <c r="BA38" s="876"/>
      <c r="BB38" s="876"/>
      <c r="BC38" s="876"/>
      <c r="BD38" s="876"/>
      <c r="BU38" s="70"/>
      <c r="BV38" s="70"/>
    </row>
    <row r="39" spans="1:74" x14ac:dyDescent="0.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Q39" s="1386"/>
      <c r="R39" s="910" t="s">
        <v>113</v>
      </c>
      <c r="S39" s="910"/>
      <c r="T39" s="911">
        <v>0.1957606659357658</v>
      </c>
      <c r="U39" s="911">
        <v>3.09</v>
      </c>
      <c r="V39" s="911">
        <v>6.3352966322254303E-2</v>
      </c>
      <c r="W39" s="911">
        <v>34.78443786407766</v>
      </c>
      <c r="X39" s="911">
        <v>63.352966322254304</v>
      </c>
      <c r="Y39" s="907"/>
      <c r="Z39" s="907"/>
      <c r="AA39" s="903">
        <v>0.1957606659357658</v>
      </c>
      <c r="AB39" s="903">
        <v>3.09</v>
      </c>
      <c r="AC39" s="903">
        <v>6.3352966322254303E-2</v>
      </c>
      <c r="AD39" s="903">
        <v>34.78443786407766</v>
      </c>
      <c r="AE39" s="903">
        <v>63.352966322254304</v>
      </c>
      <c r="AF39" s="903">
        <v>88.475999999999999</v>
      </c>
      <c r="AG39" s="903">
        <v>0.13855139999999999</v>
      </c>
      <c r="AH39" s="903">
        <v>0.10089383999999998</v>
      </c>
      <c r="AI39" s="903">
        <v>0.10748391299999997</v>
      </c>
      <c r="AJ39" s="903"/>
      <c r="AK39" s="903">
        <v>78.721414802172248</v>
      </c>
      <c r="AL39" s="903">
        <v>67.979545668022709</v>
      </c>
      <c r="AM39" s="903">
        <v>47.769935373101482</v>
      </c>
      <c r="AN39" s="903">
        <v>59.576986210252343</v>
      </c>
      <c r="AO39" s="903"/>
      <c r="AP39" s="903">
        <v>44.83864077669903</v>
      </c>
      <c r="AQ39" s="903">
        <v>32.651728155339804</v>
      </c>
      <c r="AR39" s="903">
        <v>34.784437864077667</v>
      </c>
      <c r="AU39" s="876"/>
      <c r="AV39" s="876"/>
      <c r="AW39" s="876"/>
      <c r="AX39" s="876"/>
      <c r="AY39" s="876"/>
      <c r="AZ39" s="876"/>
      <c r="BA39" s="876"/>
      <c r="BB39" s="876"/>
      <c r="BC39" s="876"/>
      <c r="BD39" s="876"/>
      <c r="BU39" s="70"/>
      <c r="BV39" s="70"/>
    </row>
    <row r="40" spans="1:74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Q40" s="1386"/>
      <c r="R40" s="910" t="s">
        <v>114</v>
      </c>
      <c r="S40" s="910">
        <v>39753</v>
      </c>
      <c r="T40" s="903">
        <v>0.18790140191692947</v>
      </c>
      <c r="U40" s="903">
        <v>3.0960000000000001</v>
      </c>
      <c r="V40" s="903">
        <v>6.0691667285829934E-2</v>
      </c>
      <c r="W40" s="903">
        <v>34.704862868217049</v>
      </c>
      <c r="X40" s="903">
        <v>60.691667285829936</v>
      </c>
      <c r="Y40" s="923"/>
      <c r="Z40" s="923"/>
      <c r="AA40" s="903">
        <v>0.18790140191692947</v>
      </c>
      <c r="AB40" s="903">
        <v>3.0960000000000001</v>
      </c>
      <c r="AC40" s="903">
        <v>6.0691667285829934E-2</v>
      </c>
      <c r="AD40" s="903">
        <v>34.704862868217049</v>
      </c>
      <c r="AE40" s="903">
        <v>60.691667285829936</v>
      </c>
      <c r="AF40" s="903">
        <v>88.475999999999999</v>
      </c>
      <c r="AG40" s="903">
        <v>0.13855139999999999</v>
      </c>
      <c r="AH40" s="903">
        <v>0.10089383999999998</v>
      </c>
      <c r="AI40" s="903">
        <v>0.10744625543999999</v>
      </c>
      <c r="AJ40" s="903"/>
      <c r="AK40" s="903">
        <v>89.171539504016025</v>
      </c>
      <c r="AL40" s="903">
        <v>56.148049410615236</v>
      </c>
      <c r="AM40" s="903">
        <v>50.917290048596222</v>
      </c>
      <c r="AN40" s="903">
        <v>53.990107638252937</v>
      </c>
      <c r="AO40" s="903"/>
      <c r="AP40" s="903">
        <v>44.751744186046508</v>
      </c>
      <c r="AQ40" s="903">
        <v>32.588449612403089</v>
      </c>
      <c r="AR40" s="903">
        <v>34.704862868217049</v>
      </c>
      <c r="AU40" s="876"/>
      <c r="AV40" s="876"/>
      <c r="AW40" s="876"/>
      <c r="AX40" s="876"/>
      <c r="AY40" s="876"/>
      <c r="AZ40" s="876"/>
      <c r="BA40" s="876"/>
      <c r="BB40" s="876"/>
      <c r="BC40" s="876"/>
      <c r="BD40" s="876"/>
      <c r="BU40" s="70"/>
      <c r="BV40" s="70"/>
    </row>
    <row r="41" spans="1:74" ht="13.5" thickBot="1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Q41" s="1387"/>
      <c r="R41" s="1114" t="s">
        <v>115</v>
      </c>
      <c r="S41" s="1114"/>
      <c r="T41" s="1119">
        <v>0.25695821196124391</v>
      </c>
      <c r="U41" s="1119">
        <v>3.1419999999999999</v>
      </c>
      <c r="V41" s="1119">
        <v>8.1781735188174387E-2</v>
      </c>
      <c r="W41" s="1119">
        <v>31.275602291534053</v>
      </c>
      <c r="X41" s="1119">
        <v>81.78173518817438</v>
      </c>
      <c r="Y41" s="1121"/>
      <c r="Z41" s="1121"/>
      <c r="AA41" s="1119">
        <v>0.25695821196124391</v>
      </c>
      <c r="AB41" s="1119">
        <v>3.1419999999999999</v>
      </c>
      <c r="AC41" s="1119">
        <v>8.1781735188174387E-2</v>
      </c>
      <c r="AD41" s="1119">
        <v>31.275602291534053</v>
      </c>
      <c r="AE41" s="1119">
        <v>81.78173518817438</v>
      </c>
      <c r="AF41" s="1119">
        <v>88.475999999999999</v>
      </c>
      <c r="AG41" s="1119">
        <v>0.12729599999999999</v>
      </c>
      <c r="AH41" s="1119">
        <v>9.2697599999999991E-2</v>
      </c>
      <c r="AI41" s="1119">
        <v>9.8267942399999988E-2</v>
      </c>
      <c r="AJ41" s="1119"/>
      <c r="AK41" s="1119">
        <v>106.84436132618194</v>
      </c>
      <c r="AL41" s="1119">
        <v>77.653461522299295</v>
      </c>
      <c r="AM41" s="1119">
        <v>73.118330175711804</v>
      </c>
      <c r="AN41" s="1119">
        <v>75.786051892264823</v>
      </c>
      <c r="AO41" s="1119"/>
      <c r="AP41" s="1119">
        <v>40.514322087842132</v>
      </c>
      <c r="AQ41" s="1119">
        <v>29.50273711012094</v>
      </c>
      <c r="AR41" s="1119">
        <v>31.275602291534053</v>
      </c>
      <c r="AU41" s="876"/>
      <c r="AV41" s="876"/>
      <c r="AW41" s="876"/>
      <c r="AX41" s="876"/>
      <c r="AY41" s="876"/>
      <c r="AZ41" s="876"/>
      <c r="BA41" s="876"/>
      <c r="BB41" s="876"/>
      <c r="BC41" s="876"/>
      <c r="BD41" s="876"/>
      <c r="BU41" s="70"/>
      <c r="BV41" s="70"/>
    </row>
    <row r="42" spans="1:74" ht="13.5" thickTop="1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Q42" s="1386">
        <v>2009</v>
      </c>
      <c r="R42" s="910" t="s">
        <v>97</v>
      </c>
      <c r="S42" s="910">
        <v>39814</v>
      </c>
      <c r="T42" s="903">
        <v>9.321831149435178E-2</v>
      </c>
      <c r="U42" s="903">
        <v>3.1739999999999999</v>
      </c>
      <c r="V42" s="903">
        <v>2.9369348296897222E-2</v>
      </c>
      <c r="W42" s="903">
        <v>31.036588279773156</v>
      </c>
      <c r="X42" s="903">
        <v>29.369348296897222</v>
      </c>
      <c r="Y42" s="923"/>
      <c r="Z42" s="923"/>
      <c r="AA42" s="903">
        <v>9.1695912740399149E-2</v>
      </c>
      <c r="AB42" s="903">
        <v>3.1739999999999999</v>
      </c>
      <c r="AC42" s="903">
        <v>2.8889701556521472E-2</v>
      </c>
      <c r="AD42" s="903">
        <v>31.036588279773156</v>
      </c>
      <c r="AE42" s="903">
        <v>28.889701556521473</v>
      </c>
      <c r="AF42" s="903">
        <v>31.832241713306047</v>
      </c>
      <c r="AG42" s="903">
        <v>0.12729599999999999</v>
      </c>
      <c r="AH42" s="903">
        <v>9.2697599999999991E-2</v>
      </c>
      <c r="AI42" s="903">
        <v>9.851013119999999E-2</v>
      </c>
      <c r="AJ42" s="903"/>
      <c r="AK42" s="903">
        <v>56.681921331708757</v>
      </c>
      <c r="AL42" s="903">
        <v>34.686710033569049</v>
      </c>
      <c r="AM42" s="903">
        <v>4.1719841858559192</v>
      </c>
      <c r="AN42" s="903">
        <v>22.087390343325048</v>
      </c>
      <c r="AO42" s="903"/>
      <c r="AP42" s="903">
        <v>40.105860113421549</v>
      </c>
      <c r="AQ42" s="903">
        <v>29.205293005671074</v>
      </c>
      <c r="AR42" s="903">
        <v>31.036588279773152</v>
      </c>
      <c r="AU42" s="876"/>
      <c r="AV42" s="876"/>
      <c r="AW42" s="876"/>
      <c r="AX42" s="876"/>
      <c r="AY42" s="876"/>
      <c r="AZ42" s="876"/>
      <c r="BA42" s="876"/>
      <c r="BB42" s="876"/>
      <c r="BC42" s="876"/>
      <c r="BD42" s="876"/>
      <c r="BU42" s="70"/>
      <c r="BV42" s="70"/>
    </row>
    <row r="43" spans="1:74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Q43" s="1386"/>
      <c r="R43" s="910" t="s">
        <v>102</v>
      </c>
      <c r="S43" s="910"/>
      <c r="T43" s="903">
        <v>0.14231726236619124</v>
      </c>
      <c r="U43" s="903">
        <v>3.2509999999999999</v>
      </c>
      <c r="V43" s="903">
        <v>4.3776457202765684E-2</v>
      </c>
      <c r="W43" s="903">
        <v>30.418552322362345</v>
      </c>
      <c r="X43" s="903">
        <v>43.776457202765684</v>
      </c>
      <c r="Y43" s="923"/>
      <c r="Z43" s="923"/>
      <c r="AA43" s="903">
        <v>0.13779648388888055</v>
      </c>
      <c r="AB43" s="903">
        <v>3.2509999999999999</v>
      </c>
      <c r="AC43" s="903">
        <v>4.2385876311559691E-2</v>
      </c>
      <c r="AD43" s="903">
        <v>30.418552322362345</v>
      </c>
      <c r="AE43" s="903">
        <v>42.385876311559691</v>
      </c>
      <c r="AF43" s="903">
        <v>31.832241713306047</v>
      </c>
      <c r="AG43" s="903">
        <v>0.12729599999999999</v>
      </c>
      <c r="AH43" s="903">
        <v>9.2697599999999991E-2</v>
      </c>
      <c r="AI43" s="903">
        <v>9.8890713599999985E-2</v>
      </c>
      <c r="AJ43" s="903"/>
      <c r="AK43" s="903">
        <v>73.154390843342227</v>
      </c>
      <c r="AL43" s="903">
        <v>56.390074854775392</v>
      </c>
      <c r="AM43" s="903">
        <v>3.9177626773753311</v>
      </c>
      <c r="AN43" s="903">
        <v>34.754315320348617</v>
      </c>
      <c r="AO43" s="903"/>
      <c r="AP43" s="903">
        <v>39.155952014764686</v>
      </c>
      <c r="AQ43" s="903">
        <v>28.513565056905566</v>
      </c>
      <c r="AR43" s="903">
        <v>30.418552322362345</v>
      </c>
      <c r="AU43" s="876"/>
      <c r="AV43" s="876"/>
      <c r="AW43" s="876"/>
      <c r="AX43" s="876"/>
      <c r="AY43" s="876"/>
      <c r="AZ43" s="876"/>
      <c r="BA43" s="876"/>
      <c r="BB43" s="876"/>
      <c r="BC43" s="876"/>
      <c r="BD43" s="876"/>
      <c r="BU43" s="70"/>
      <c r="BV43" s="70"/>
    </row>
    <row r="44" spans="1:74" x14ac:dyDescent="0.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Q44" s="1386"/>
      <c r="R44" s="910" t="s">
        <v>106</v>
      </c>
      <c r="S44" s="910">
        <v>39873</v>
      </c>
      <c r="T44" s="903">
        <v>7.8588387240776464E-2</v>
      </c>
      <c r="U44" s="903">
        <v>3.161</v>
      </c>
      <c r="V44" s="903">
        <v>2.4861875115715425E-2</v>
      </c>
      <c r="W44" s="903">
        <v>33.131001243787694</v>
      </c>
      <c r="X44" s="903">
        <v>24.861875115715424</v>
      </c>
      <c r="Y44" s="923"/>
      <c r="Z44" s="923"/>
      <c r="AA44" s="903">
        <v>8.3627091033034062E-2</v>
      </c>
      <c r="AB44" s="903">
        <v>3.161</v>
      </c>
      <c r="AC44" s="903">
        <v>2.6455897194885815E-2</v>
      </c>
      <c r="AD44" s="903">
        <v>33.131001243787694</v>
      </c>
      <c r="AE44" s="903">
        <v>26.455897194885814</v>
      </c>
      <c r="AF44" s="903">
        <v>31.832241713306047</v>
      </c>
      <c r="AG44" s="903">
        <v>0.13471455483870964</v>
      </c>
      <c r="AH44" s="903">
        <v>9.8099829677419342E-2</v>
      </c>
      <c r="AI44" s="903">
        <v>0.10472709493161289</v>
      </c>
      <c r="AJ44" s="903"/>
      <c r="AK44" s="903">
        <v>55.042169900727757</v>
      </c>
      <c r="AL44" s="903">
        <v>31.468346631070315</v>
      </c>
      <c r="AM44" s="903">
        <v>2.3016135792753394</v>
      </c>
      <c r="AN44" s="903">
        <v>19.469493530877507</v>
      </c>
      <c r="AO44" s="903"/>
      <c r="AP44" s="903">
        <v>42.617701625659492</v>
      </c>
      <c r="AQ44" s="903">
        <v>31.034428876121272</v>
      </c>
      <c r="AR44" s="903">
        <v>33.131001243787694</v>
      </c>
      <c r="AU44" s="876"/>
      <c r="AV44" s="876"/>
      <c r="AW44" s="876"/>
      <c r="AX44" s="876"/>
      <c r="AY44" s="876"/>
      <c r="AZ44" s="876"/>
      <c r="BA44" s="876"/>
      <c r="BB44" s="876"/>
      <c r="BC44" s="876"/>
      <c r="BD44" s="876"/>
      <c r="BU44" s="70"/>
      <c r="BV44" s="70"/>
    </row>
    <row r="45" spans="1:74" x14ac:dyDescent="0.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Q45" s="1386"/>
      <c r="R45" s="910" t="s">
        <v>107</v>
      </c>
      <c r="S45" s="910"/>
      <c r="T45" s="903">
        <v>7.5816953972263804E-2</v>
      </c>
      <c r="U45" s="903">
        <v>2.9950000000000001</v>
      </c>
      <c r="V45" s="903">
        <v>2.5314508838819298E-2</v>
      </c>
      <c r="W45" s="903">
        <v>34.915379499165262</v>
      </c>
      <c r="X45" s="903">
        <v>25.314508838819297</v>
      </c>
      <c r="Y45" s="923"/>
      <c r="Z45" s="923"/>
      <c r="AA45" s="903">
        <v>7.6151045491711186E-2</v>
      </c>
      <c r="AB45" s="903">
        <v>2.9950000000000001</v>
      </c>
      <c r="AC45" s="903">
        <v>2.5426058594895221E-2</v>
      </c>
      <c r="AD45" s="903">
        <v>34.915379499165262</v>
      </c>
      <c r="AE45" s="903">
        <v>25.42605859489522</v>
      </c>
      <c r="AF45" s="903">
        <v>31.832241713306047</v>
      </c>
      <c r="AG45" s="903">
        <v>0.13550939999999997</v>
      </c>
      <c r="AH45" s="903">
        <v>9.8678639999999984E-2</v>
      </c>
      <c r="AI45" s="903">
        <v>0.10457156159999997</v>
      </c>
      <c r="AJ45" s="903"/>
      <c r="AK45" s="903">
        <v>55.871786422219735</v>
      </c>
      <c r="AL45" s="903">
        <v>28.682316804806447</v>
      </c>
      <c r="AM45" s="903">
        <v>3.2845992641887309</v>
      </c>
      <c r="AN45" s="903">
        <v>18.304201043788986</v>
      </c>
      <c r="AO45" s="903"/>
      <c r="AP45" s="903">
        <v>45.24520868113521</v>
      </c>
      <c r="AQ45" s="903">
        <v>32.94779298831385</v>
      </c>
      <c r="AR45" s="903">
        <v>34.915379499165269</v>
      </c>
      <c r="AU45" s="876"/>
      <c r="AV45" s="876"/>
      <c r="AW45" s="876"/>
      <c r="AX45" s="876"/>
      <c r="AY45" s="876"/>
      <c r="AZ45" s="876"/>
      <c r="BA45" s="876"/>
      <c r="BB45" s="876"/>
      <c r="BC45" s="876"/>
      <c r="BD45" s="876"/>
      <c r="BU45" s="70"/>
      <c r="BV45" s="70"/>
    </row>
    <row r="46" spans="1:74" x14ac:dyDescent="0.2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Q46" s="1386"/>
      <c r="R46" s="910" t="s">
        <v>108</v>
      </c>
      <c r="S46" s="910">
        <v>39934</v>
      </c>
      <c r="T46" s="911">
        <v>8.5870631379132006E-2</v>
      </c>
      <c r="U46" s="912">
        <v>2.9950000000000001</v>
      </c>
      <c r="V46" s="911">
        <v>2.8671329341947247E-2</v>
      </c>
      <c r="W46" s="911">
        <v>32.335613118638591</v>
      </c>
      <c r="X46" s="911">
        <v>28.671329341947246</v>
      </c>
      <c r="Y46" s="907"/>
      <c r="Z46" s="907"/>
      <c r="AA46" s="903">
        <v>8.5870631379132006E-2</v>
      </c>
      <c r="AB46" s="903">
        <v>2.9950000000000001</v>
      </c>
      <c r="AC46" s="903">
        <v>2.8671329341947247E-2</v>
      </c>
      <c r="AD46" s="903">
        <v>32.145386836773277</v>
      </c>
      <c r="AE46" s="903">
        <v>28.671329341947246</v>
      </c>
      <c r="AF46" s="903">
        <v>31.832241713306047</v>
      </c>
      <c r="AG46" s="903">
        <v>0.11153225806451614</v>
      </c>
      <c r="AH46" s="903">
        <v>9.3045161290322573E-2</v>
      </c>
      <c r="AI46" s="903">
        <v>9.6275433576135966E-2</v>
      </c>
      <c r="AJ46" s="903"/>
      <c r="AK46" s="903">
        <v>57.543990076353232</v>
      </c>
      <c r="AL46" s="903">
        <v>29.992703181993807</v>
      </c>
      <c r="AM46" s="903">
        <v>10.250499853082212</v>
      </c>
      <c r="AN46" s="903">
        <v>21.857883418349726</v>
      </c>
      <c r="AO46" s="903"/>
      <c r="AP46" s="903">
        <v>37.239485163444456</v>
      </c>
      <c r="AQ46" s="903">
        <v>31.066831816468301</v>
      </c>
      <c r="AR46" s="903">
        <v>32.145386836773277</v>
      </c>
      <c r="AU46" s="876"/>
      <c r="AV46" s="876"/>
      <c r="AW46" s="876"/>
      <c r="AX46" s="876"/>
      <c r="AY46" s="876"/>
      <c r="AZ46" s="876"/>
      <c r="BA46" s="876"/>
      <c r="BB46" s="876"/>
      <c r="BC46" s="876"/>
      <c r="BD46" s="876"/>
      <c r="BU46" s="70"/>
      <c r="BV46" s="70"/>
    </row>
    <row r="47" spans="1:74" x14ac:dyDescent="0.2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Q47" s="1386"/>
      <c r="R47" s="910" t="s">
        <v>109</v>
      </c>
      <c r="S47" s="910"/>
      <c r="T47" s="911">
        <v>0.19783514791323623</v>
      </c>
      <c r="U47" s="912">
        <v>3.0110000000000001</v>
      </c>
      <c r="V47" s="911">
        <v>6.5704134145877183E-2</v>
      </c>
      <c r="W47" s="911">
        <v>32.015941547658585</v>
      </c>
      <c r="X47" s="911">
        <v>65.704134145877177</v>
      </c>
      <c r="Y47" s="907"/>
      <c r="Z47" s="907"/>
      <c r="AA47" s="903">
        <v>0.19783514791323623</v>
      </c>
      <c r="AB47" s="903">
        <v>3.0110000000000001</v>
      </c>
      <c r="AC47" s="903">
        <v>6.5704134145877183E-2</v>
      </c>
      <c r="AD47" s="903">
        <v>31.820593010812203</v>
      </c>
      <c r="AE47" s="903">
        <v>65.704134145877177</v>
      </c>
      <c r="AF47" s="903">
        <v>31.832241713306047</v>
      </c>
      <c r="AG47" s="903">
        <v>0.11109999999999999</v>
      </c>
      <c r="AH47" s="903">
        <v>9.2600000000000002E-2</v>
      </c>
      <c r="AI47" s="903">
        <v>9.5811805555555546E-2</v>
      </c>
      <c r="AJ47" s="903"/>
      <c r="AK47" s="903">
        <v>80.311758711487073</v>
      </c>
      <c r="AL47" s="903">
        <v>66.107528465321096</v>
      </c>
      <c r="AM47" s="903">
        <v>56.31411528155607</v>
      </c>
      <c r="AN47" s="903">
        <v>62.090327098528917</v>
      </c>
      <c r="AO47" s="903"/>
      <c r="AP47" s="903">
        <v>36.898040518100295</v>
      </c>
      <c r="AQ47" s="903">
        <v>30.753902358020593</v>
      </c>
      <c r="AR47" s="903">
        <v>31.8205930108122</v>
      </c>
      <c r="AU47" s="876"/>
      <c r="AV47" s="876"/>
      <c r="AW47" s="876"/>
      <c r="AX47" s="876"/>
      <c r="AY47" s="876"/>
      <c r="AZ47" s="876"/>
      <c r="BA47" s="876"/>
      <c r="BB47" s="876"/>
      <c r="BC47" s="876"/>
      <c r="BD47" s="876"/>
      <c r="BU47" s="70"/>
      <c r="BV47" s="70"/>
    </row>
    <row r="48" spans="1:74" x14ac:dyDescent="0.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Q48" s="1386"/>
      <c r="R48" s="910" t="s">
        <v>110</v>
      </c>
      <c r="S48" s="910">
        <v>39995</v>
      </c>
      <c r="T48" s="911">
        <v>0.12312215581613645</v>
      </c>
      <c r="U48" s="912">
        <v>2.9870000000000001</v>
      </c>
      <c r="V48" s="911">
        <v>4.1219335726861886E-2</v>
      </c>
      <c r="W48" s="911">
        <v>32.273183796451292</v>
      </c>
      <c r="X48" s="911">
        <v>41.219335726861885</v>
      </c>
      <c r="Y48" s="907"/>
      <c r="Z48" s="907"/>
      <c r="AA48" s="903">
        <v>0.12312215581613645</v>
      </c>
      <c r="AB48" s="903">
        <v>2.9870000000000001</v>
      </c>
      <c r="AC48" s="903">
        <v>4.1219335726861886E-2</v>
      </c>
      <c r="AD48" s="903">
        <v>31.999956802056218</v>
      </c>
      <c r="AE48" s="903">
        <v>41.219335726861885</v>
      </c>
      <c r="AF48" s="903">
        <v>31.832241713306047</v>
      </c>
      <c r="AG48" s="903">
        <v>0.11109999999999999</v>
      </c>
      <c r="AH48" s="903">
        <v>9.2600000000000002E-2</v>
      </c>
      <c r="AI48" s="903">
        <v>9.558387096774193E-2</v>
      </c>
      <c r="AJ48" s="903"/>
      <c r="AK48" s="903">
        <v>49.315766846638951</v>
      </c>
      <c r="AL48" s="903">
        <v>44.251499279750682</v>
      </c>
      <c r="AM48" s="903">
        <v>31.996163896777265</v>
      </c>
      <c r="AN48" s="903">
        <v>39.290894935815167</v>
      </c>
      <c r="AO48" s="903"/>
      <c r="AP48" s="903">
        <v>37.19450954134583</v>
      </c>
      <c r="AQ48" s="903">
        <v>31.001004352192837</v>
      </c>
      <c r="AR48" s="903">
        <v>31.999956802056214</v>
      </c>
      <c r="AU48" s="876"/>
      <c r="AV48" s="876"/>
      <c r="AW48" s="876"/>
      <c r="AX48" s="876"/>
      <c r="AY48" s="876"/>
      <c r="AZ48" s="876"/>
      <c r="BA48" s="876"/>
      <c r="BB48" s="876"/>
      <c r="BC48" s="876"/>
      <c r="BD48" s="876"/>
      <c r="BU48" s="70"/>
      <c r="BV48" s="70"/>
    </row>
    <row r="49" spans="1:74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Q49" s="1386"/>
      <c r="R49" s="910" t="s">
        <v>111</v>
      </c>
      <c r="S49" s="910"/>
      <c r="T49" s="911">
        <v>9.9880296686928105E-2</v>
      </c>
      <c r="U49" s="912">
        <v>2.948</v>
      </c>
      <c r="V49" s="911">
        <v>3.3880697654995968E-2</v>
      </c>
      <c r="W49" s="911">
        <v>32.179279555302671</v>
      </c>
      <c r="X49" s="911">
        <v>33.88069765499597</v>
      </c>
      <c r="Y49" s="907"/>
      <c r="Z49" s="907"/>
      <c r="AA49" s="903">
        <v>9.9880296686928105E-2</v>
      </c>
      <c r="AB49" s="903">
        <v>2.948</v>
      </c>
      <c r="AC49" s="903">
        <v>3.3880697654995968E-2</v>
      </c>
      <c r="AD49" s="903">
        <v>31.996009805291958</v>
      </c>
      <c r="AE49" s="903">
        <v>33.88069765499597</v>
      </c>
      <c r="AF49" s="903">
        <v>31.832241713306047</v>
      </c>
      <c r="AG49" s="903">
        <v>0.10929354838709678</v>
      </c>
      <c r="AH49" s="903">
        <v>9.1154838709677416E-2</v>
      </c>
      <c r="AI49" s="903">
        <v>9.4324236906000697E-2</v>
      </c>
      <c r="AJ49" s="903"/>
      <c r="AK49" s="903">
        <v>38.517820327182868</v>
      </c>
      <c r="AL49" s="903">
        <v>35.2706023403925</v>
      </c>
      <c r="AM49" s="903">
        <v>29.157548808738543</v>
      </c>
      <c r="AN49" s="903">
        <v>32.748296541934153</v>
      </c>
      <c r="AO49" s="903"/>
      <c r="AP49" s="903">
        <v>37.073795246640699</v>
      </c>
      <c r="AQ49" s="903">
        <v>30.920908653214866</v>
      </c>
      <c r="AR49" s="903">
        <v>31.996009805291958</v>
      </c>
      <c r="AU49" s="876"/>
      <c r="AV49" s="876"/>
      <c r="AW49" s="876"/>
      <c r="AX49" s="876"/>
      <c r="AY49" s="876"/>
      <c r="AZ49" s="876"/>
      <c r="BA49" s="876"/>
      <c r="BB49" s="876"/>
      <c r="BC49" s="876"/>
      <c r="BD49" s="876"/>
      <c r="BU49" s="70"/>
      <c r="BV49" s="70"/>
    </row>
    <row r="50" spans="1:74" x14ac:dyDescent="0.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Q50" s="1386"/>
      <c r="R50" s="910" t="s">
        <v>116</v>
      </c>
      <c r="S50" s="910">
        <v>40057</v>
      </c>
      <c r="T50" s="911">
        <v>0.10450858019263708</v>
      </c>
      <c r="U50" s="912">
        <v>2.8849999999999998</v>
      </c>
      <c r="V50" s="911">
        <v>3.6224811158626372E-2</v>
      </c>
      <c r="W50" s="911">
        <v>32.824956672443676</v>
      </c>
      <c r="X50" s="913">
        <v>36.224811158626373</v>
      </c>
      <c r="Y50" s="902"/>
      <c r="Z50" s="902"/>
      <c r="AA50" s="903">
        <v>0.10450858019263708</v>
      </c>
      <c r="AB50" s="903">
        <v>2.8849999999999998</v>
      </c>
      <c r="AC50" s="903">
        <v>3.6224811158626372E-2</v>
      </c>
      <c r="AD50" s="903">
        <v>32.675235894473332</v>
      </c>
      <c r="AE50" s="903">
        <v>36.224811158626373</v>
      </c>
      <c r="AF50" s="903">
        <v>31.832241713306047</v>
      </c>
      <c r="AG50" s="903">
        <v>0.1091</v>
      </c>
      <c r="AH50" s="903">
        <v>9.0999999999999998E-2</v>
      </c>
      <c r="AI50" s="903">
        <v>9.4268055555555549E-2</v>
      </c>
      <c r="AJ50" s="903"/>
      <c r="AK50" s="903">
        <v>39.143055249660875</v>
      </c>
      <c r="AL50" s="903">
        <v>39.862963643544894</v>
      </c>
      <c r="AM50" s="903">
        <v>29.353586361520776</v>
      </c>
      <c r="AN50" s="903">
        <v>35.490019476237649</v>
      </c>
      <c r="AO50" s="903"/>
      <c r="AP50" s="903">
        <v>37.816291161178512</v>
      </c>
      <c r="AQ50" s="903">
        <v>31.542461005199307</v>
      </c>
      <c r="AR50" s="903">
        <v>32.675235894473332</v>
      </c>
      <c r="AU50" s="876"/>
      <c r="AV50" s="876"/>
      <c r="AW50" s="876"/>
      <c r="AX50" s="876"/>
      <c r="AY50" s="876"/>
      <c r="AZ50" s="876"/>
      <c r="BA50" s="876"/>
      <c r="BB50" s="876"/>
      <c r="BC50" s="876"/>
      <c r="BD50" s="876"/>
      <c r="BU50" s="70"/>
      <c r="BV50" s="70"/>
    </row>
    <row r="51" spans="1:74" x14ac:dyDescent="0.2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Q51" s="1386"/>
      <c r="R51" s="910" t="s">
        <v>113</v>
      </c>
      <c r="S51" s="910"/>
      <c r="T51" s="911">
        <v>5.7498967952373747E-2</v>
      </c>
      <c r="U51" s="912">
        <v>2.9060000000000001</v>
      </c>
      <c r="V51" s="911">
        <v>1.9786293170121729E-2</v>
      </c>
      <c r="W51" s="911">
        <v>32.587749483826563</v>
      </c>
      <c r="X51" s="913">
        <v>19.786293170121731</v>
      </c>
      <c r="Y51" s="902"/>
      <c r="Z51" s="902"/>
      <c r="AA51" s="903">
        <v>5.7498967952373747E-2</v>
      </c>
      <c r="AB51" s="903">
        <v>2.9060000000000001</v>
      </c>
      <c r="AC51" s="903">
        <v>1.9786293170121729E-2</v>
      </c>
      <c r="AD51" s="903">
        <v>32.402833588644924</v>
      </c>
      <c r="AE51" s="903">
        <v>19.786293170121731</v>
      </c>
      <c r="AF51" s="903">
        <v>31.832241713306047</v>
      </c>
      <c r="AG51" s="903">
        <v>0.1091</v>
      </c>
      <c r="AH51" s="903">
        <v>9.0999999999999998E-2</v>
      </c>
      <c r="AI51" s="903">
        <v>9.4162634408602147E-2</v>
      </c>
      <c r="AJ51" s="903"/>
      <c r="AK51" s="903">
        <v>25.632529460801138</v>
      </c>
      <c r="AL51" s="903">
        <v>20.817714934599469</v>
      </c>
      <c r="AM51" s="903">
        <v>14.904293715045577</v>
      </c>
      <c r="AN51" s="903">
        <v>18.369507003076041</v>
      </c>
      <c r="AO51" s="903"/>
      <c r="AP51" s="903">
        <v>37.543014452856163</v>
      </c>
      <c r="AQ51" s="903">
        <v>31.314521679284237</v>
      </c>
      <c r="AR51" s="903">
        <v>32.402833588644924</v>
      </c>
      <c r="AU51" s="876"/>
      <c r="AV51" s="876"/>
      <c r="AW51" s="876"/>
      <c r="AX51" s="876"/>
      <c r="AY51" s="876"/>
      <c r="AZ51" s="876"/>
      <c r="BA51" s="876"/>
      <c r="BB51" s="876"/>
      <c r="BC51" s="876"/>
      <c r="BD51" s="876"/>
      <c r="BU51" s="70"/>
      <c r="BV51" s="70"/>
    </row>
    <row r="52" spans="1:74" x14ac:dyDescent="0.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Q52" s="1386"/>
      <c r="R52" s="910" t="s">
        <v>114</v>
      </c>
      <c r="S52" s="910">
        <v>40118</v>
      </c>
      <c r="T52" s="911">
        <v>5.8690834077752226E-2</v>
      </c>
      <c r="U52" s="912">
        <v>2.8809999999999998</v>
      </c>
      <c r="V52" s="911">
        <v>2.0371688329660614E-2</v>
      </c>
      <c r="W52" s="911">
        <v>32.676973658837596</v>
      </c>
      <c r="X52" s="913">
        <v>20.371688329660614</v>
      </c>
      <c r="Y52" s="902"/>
      <c r="Z52" s="902"/>
      <c r="AA52" s="903">
        <v>5.8690834077752226E-2</v>
      </c>
      <c r="AB52" s="903">
        <v>2.8809999999999998</v>
      </c>
      <c r="AC52" s="903">
        <v>2.0371688329660614E-2</v>
      </c>
      <c r="AD52" s="903">
        <v>32.676973658837596</v>
      </c>
      <c r="AE52" s="903">
        <v>20.371688329660614</v>
      </c>
      <c r="AF52" s="903">
        <v>31.832241713306047</v>
      </c>
      <c r="AG52" s="903">
        <v>0.1091</v>
      </c>
      <c r="AH52" s="903">
        <v>9.0999999999999998E-2</v>
      </c>
      <c r="AI52" s="903">
        <v>9.4142361111111114E-2</v>
      </c>
      <c r="AJ52" s="903"/>
      <c r="AK52" s="903">
        <v>31.4845863703224</v>
      </c>
      <c r="AL52" s="903">
        <v>19.989427842009412</v>
      </c>
      <c r="AM52" s="903">
        <v>14.451925258512762</v>
      </c>
      <c r="AN52" s="903">
        <v>17.687575671454777</v>
      </c>
      <c r="AO52" s="903"/>
      <c r="AP52" s="903">
        <v>37.868795557098231</v>
      </c>
      <c r="AQ52" s="903">
        <v>31.586254772648392</v>
      </c>
      <c r="AR52" s="903">
        <v>32.676973658837603</v>
      </c>
      <c r="AU52" s="876"/>
      <c r="AV52" s="876"/>
      <c r="AW52" s="876"/>
      <c r="AX52" s="876"/>
      <c r="AY52" s="876"/>
      <c r="AZ52" s="876"/>
      <c r="BA52" s="876"/>
      <c r="BB52" s="876"/>
      <c r="BC52" s="876"/>
      <c r="BD52" s="876"/>
      <c r="BU52" s="70"/>
      <c r="BV52" s="70"/>
    </row>
    <row r="53" spans="1:74" ht="13.5" thickBot="1" x14ac:dyDescent="0.25">
      <c r="Q53" s="1387"/>
      <c r="R53" s="1114" t="s">
        <v>115</v>
      </c>
      <c r="S53" s="1114"/>
      <c r="T53" s="1115">
        <v>4.9847465932751335E-2</v>
      </c>
      <c r="U53" s="1122">
        <v>2.891</v>
      </c>
      <c r="V53" s="1115">
        <v>1.7242291917243632E-2</v>
      </c>
      <c r="W53" s="1115">
        <v>32.486805547806874</v>
      </c>
      <c r="X53" s="1123">
        <v>17.24229191724363</v>
      </c>
      <c r="Y53" s="1124"/>
      <c r="Z53" s="1124"/>
      <c r="AA53" s="1119">
        <v>4.9847465932751335E-2</v>
      </c>
      <c r="AB53" s="1119">
        <v>2.891</v>
      </c>
      <c r="AC53" s="1119">
        <v>1.7242291917243632E-2</v>
      </c>
      <c r="AD53" s="1119">
        <v>30.811794902620392</v>
      </c>
      <c r="AE53" s="1119">
        <v>17.24229191724363</v>
      </c>
      <c r="AF53" s="1119">
        <v>31.832241713306047</v>
      </c>
      <c r="AG53" s="1119">
        <v>0.10349999999999999</v>
      </c>
      <c r="AH53" s="1119">
        <v>8.6303225806451611E-2</v>
      </c>
      <c r="AI53" s="1119">
        <v>8.9076899063475545E-2</v>
      </c>
      <c r="AJ53" s="1119"/>
      <c r="AK53" s="1119">
        <v>43.795547588351567</v>
      </c>
      <c r="AL53" s="1119">
        <v>15.230231509207474</v>
      </c>
      <c r="AM53" s="1119">
        <v>5.1221971134330744</v>
      </c>
      <c r="AN53" s="1119">
        <v>11.059399301254521</v>
      </c>
      <c r="AO53" s="1119"/>
      <c r="AP53" s="1119">
        <v>35.800760982359044</v>
      </c>
      <c r="AQ53" s="1119">
        <v>29.852378348824491</v>
      </c>
      <c r="AR53" s="1119">
        <v>30.811794902620388</v>
      </c>
      <c r="AU53" s="876"/>
      <c r="AV53" s="876"/>
      <c r="AW53" s="876"/>
      <c r="AX53" s="876"/>
      <c r="AY53" s="876"/>
      <c r="AZ53" s="876"/>
      <c r="BA53" s="876"/>
      <c r="BB53" s="876"/>
      <c r="BC53" s="876"/>
      <c r="BD53" s="876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</row>
    <row r="54" spans="1:74" ht="13.5" thickTop="1" x14ac:dyDescent="0.2">
      <c r="Q54" s="1386">
        <v>2010</v>
      </c>
      <c r="R54" s="910" t="s">
        <v>97</v>
      </c>
      <c r="S54" s="910">
        <v>40179</v>
      </c>
      <c r="T54" s="911">
        <v>6.6144936764131079E-2</v>
      </c>
      <c r="U54" s="912">
        <v>2.8570000000000002</v>
      </c>
      <c r="V54" s="911">
        <v>2.3151885461718962E-2</v>
      </c>
      <c r="W54" s="911">
        <v>31.037096209649189</v>
      </c>
      <c r="X54" s="913">
        <v>23.151885461718962</v>
      </c>
      <c r="Y54" s="902"/>
      <c r="Z54" s="902"/>
      <c r="AA54" s="903">
        <v>6.6144936764131079E-2</v>
      </c>
      <c r="AB54" s="903">
        <v>2.8570000000000002</v>
      </c>
      <c r="AC54" s="903">
        <v>2.3151885461718962E-2</v>
      </c>
      <c r="AD54" s="903">
        <v>31.037096209649189</v>
      </c>
      <c r="AE54" s="903">
        <v>23.151885461718962</v>
      </c>
      <c r="AF54" s="903">
        <v>21.441690433520673</v>
      </c>
      <c r="AG54" s="903">
        <v>0.10289999999999999</v>
      </c>
      <c r="AH54" s="903">
        <v>8.5800000000000001E-2</v>
      </c>
      <c r="AI54" s="903">
        <v>8.8672983870967739E-2</v>
      </c>
      <c r="AJ54" s="903"/>
      <c r="AK54" s="903">
        <v>44.574993713619904</v>
      </c>
      <c r="AL54" s="903">
        <v>26.771186003680885</v>
      </c>
      <c r="AM54" s="903">
        <v>5.8848436239172344</v>
      </c>
      <c r="AN54" s="903">
        <v>18.197333952827044</v>
      </c>
      <c r="AO54" s="903"/>
      <c r="AP54" s="903">
        <v>36.016800840041995</v>
      </c>
      <c r="AQ54" s="903">
        <v>30.03150157507875</v>
      </c>
      <c r="AR54" s="903">
        <v>31.037096209649192</v>
      </c>
      <c r="AU54" s="876"/>
      <c r="AV54" s="876"/>
      <c r="AW54" s="876"/>
      <c r="AX54" s="876"/>
      <c r="AY54" s="876"/>
      <c r="AZ54" s="876"/>
      <c r="BA54" s="876"/>
      <c r="BB54" s="876"/>
      <c r="BC54" s="876"/>
      <c r="BD54" s="876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</row>
    <row r="55" spans="1:74" x14ac:dyDescent="0.2">
      <c r="Q55" s="1386"/>
      <c r="R55" s="910" t="s">
        <v>102</v>
      </c>
      <c r="S55" s="910"/>
      <c r="T55" s="911">
        <v>6.9940058099585339E-2</v>
      </c>
      <c r="U55" s="912">
        <v>2.8490000000000002</v>
      </c>
      <c r="V55" s="911">
        <v>2.4548984941939394E-2</v>
      </c>
      <c r="W55" s="911">
        <v>31.187634759063329</v>
      </c>
      <c r="X55" s="913">
        <v>24.548984941939395</v>
      </c>
      <c r="Y55" s="902"/>
      <c r="Z55" s="902"/>
      <c r="AA55" s="903">
        <v>6.9940058099585339E-2</v>
      </c>
      <c r="AB55" s="903">
        <v>2.8490000000000002</v>
      </c>
      <c r="AC55" s="903">
        <v>2.4548984941939394E-2</v>
      </c>
      <c r="AD55" s="903">
        <v>31.187634759063329</v>
      </c>
      <c r="AE55" s="903">
        <v>24.548984941939395</v>
      </c>
      <c r="AF55" s="903">
        <v>21.441690433520673</v>
      </c>
      <c r="AG55" s="903">
        <v>0.10289999999999999</v>
      </c>
      <c r="AH55" s="903">
        <v>8.5800000000000001E-2</v>
      </c>
      <c r="AI55" s="903">
        <v>8.8853571428571435E-2</v>
      </c>
      <c r="AJ55" s="903"/>
      <c r="AK55" s="903">
        <v>46.283394876772654</v>
      </c>
      <c r="AL55" s="903">
        <v>27.768064621140056</v>
      </c>
      <c r="AM55" s="903">
        <v>7.0332930645491718</v>
      </c>
      <c r="AN55" s="903">
        <v>19.220685147165554</v>
      </c>
      <c r="AO55" s="903"/>
      <c r="AP55" s="903">
        <v>36.117936117936118</v>
      </c>
      <c r="AQ55" s="903">
        <v>30.115830115830114</v>
      </c>
      <c r="AR55" s="903">
        <v>31.187634759063332</v>
      </c>
      <c r="AU55" s="876"/>
      <c r="AV55" s="876"/>
      <c r="AW55" s="876"/>
      <c r="AX55" s="876"/>
      <c r="AY55" s="876"/>
      <c r="AZ55" s="876"/>
      <c r="BA55" s="876"/>
      <c r="BB55" s="876"/>
      <c r="BC55" s="876"/>
      <c r="BD55" s="876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</row>
    <row r="56" spans="1:74" x14ac:dyDescent="0.2">
      <c r="Q56" s="1386"/>
      <c r="R56" s="910" t="s">
        <v>106</v>
      </c>
      <c r="S56" s="910">
        <v>40238</v>
      </c>
      <c r="T56" s="911">
        <v>6.2430847352651191E-2</v>
      </c>
      <c r="U56" s="912">
        <v>2.8420000000000001</v>
      </c>
      <c r="V56" s="911">
        <v>2.1967222854557069E-2</v>
      </c>
      <c r="W56" s="911">
        <v>31.281781344350865</v>
      </c>
      <c r="X56" s="913">
        <v>21.967222854557068</v>
      </c>
      <c r="Y56" s="902"/>
      <c r="Z56" s="902"/>
      <c r="AA56" s="903">
        <v>6.2430847352651191E-2</v>
      </c>
      <c r="AB56" s="903">
        <v>2.8420000000000001</v>
      </c>
      <c r="AC56" s="903">
        <v>2.1967222854557069E-2</v>
      </c>
      <c r="AD56" s="903">
        <v>31.281781344350865</v>
      </c>
      <c r="AE56" s="903">
        <v>21.967222854557068</v>
      </c>
      <c r="AF56" s="903">
        <v>21.441690433520673</v>
      </c>
      <c r="AG56" s="903">
        <v>0.10289999999999999</v>
      </c>
      <c r="AH56" s="903">
        <v>8.5800000000000001E-2</v>
      </c>
      <c r="AI56" s="903">
        <v>8.8902822580645163E-2</v>
      </c>
      <c r="AJ56" s="903"/>
      <c r="AK56" s="903">
        <v>44.870892184540594</v>
      </c>
      <c r="AL56" s="903">
        <v>23.434913183398113</v>
      </c>
      <c r="AM56" s="903">
        <v>5.8515017964509575</v>
      </c>
      <c r="AN56" s="903">
        <v>16.14405106025243</v>
      </c>
      <c r="AO56" s="903"/>
      <c r="AP56" s="903">
        <v>36.206896551724135</v>
      </c>
      <c r="AQ56" s="903">
        <v>30.190007037297676</v>
      </c>
      <c r="AR56" s="903">
        <v>31.281781344350868</v>
      </c>
      <c r="AU56" s="876"/>
      <c r="AV56" s="876"/>
      <c r="AW56" s="876"/>
      <c r="AX56" s="876"/>
      <c r="AY56" s="876"/>
      <c r="AZ56" s="876"/>
      <c r="BA56" s="876"/>
      <c r="BB56" s="876"/>
      <c r="BC56" s="876"/>
      <c r="BD56" s="876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</row>
    <row r="57" spans="1:74" x14ac:dyDescent="0.2">
      <c r="Q57" s="1386"/>
      <c r="R57" s="910" t="s">
        <v>107</v>
      </c>
      <c r="S57" s="910"/>
      <c r="T57" s="911">
        <v>4.7305025614747573E-2</v>
      </c>
      <c r="U57" s="912">
        <v>2.8490000000000002</v>
      </c>
      <c r="V57" s="911">
        <v>1.660408059485699E-2</v>
      </c>
      <c r="W57" s="911">
        <v>31.074499824499817</v>
      </c>
      <c r="X57" s="913">
        <v>16.604080594856992</v>
      </c>
      <c r="Y57" s="902"/>
      <c r="Z57" s="902"/>
      <c r="AA57" s="903">
        <v>4.7305025614747573E-2</v>
      </c>
      <c r="AB57" s="903">
        <v>2.8490000000000002</v>
      </c>
      <c r="AC57" s="903">
        <v>1.660408059485699E-2</v>
      </c>
      <c r="AD57" s="903">
        <v>31.074499824499817</v>
      </c>
      <c r="AE57" s="903">
        <v>16.604080594856992</v>
      </c>
      <c r="AF57" s="903">
        <v>21.441690433520673</v>
      </c>
      <c r="AG57" s="903">
        <v>0.10289999999999999</v>
      </c>
      <c r="AH57" s="903">
        <v>8.5800000000000001E-2</v>
      </c>
      <c r="AI57" s="903">
        <v>8.8531249999999992E-2</v>
      </c>
      <c r="AJ57" s="903"/>
      <c r="AK57" s="903">
        <v>31.156069140810267</v>
      </c>
      <c r="AL57" s="903">
        <v>17.506389731168348</v>
      </c>
      <c r="AM57" s="903">
        <v>7.0997640449565163</v>
      </c>
      <c r="AN57" s="903">
        <v>13.240620730732308</v>
      </c>
      <c r="AO57" s="903"/>
      <c r="AP57" s="903">
        <v>36.117936117936118</v>
      </c>
      <c r="AQ57" s="903">
        <v>30.115830115830114</v>
      </c>
      <c r="AR57" s="903">
        <v>31.074499824499821</v>
      </c>
      <c r="AU57" s="876"/>
      <c r="AV57" s="876"/>
      <c r="AW57" s="876"/>
      <c r="AX57" s="876"/>
      <c r="AY57" s="876"/>
      <c r="AZ57" s="876"/>
      <c r="BA57" s="876"/>
      <c r="BB57" s="876"/>
      <c r="BC57" s="876"/>
      <c r="BD57" s="876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</row>
    <row r="58" spans="1:74" x14ac:dyDescent="0.2">
      <c r="Q58" s="1386"/>
      <c r="R58" s="910" t="s">
        <v>108</v>
      </c>
      <c r="S58" s="910">
        <v>40299</v>
      </c>
      <c r="T58" s="911">
        <v>5.166713371435136E-2</v>
      </c>
      <c r="U58" s="912">
        <v>2.8450000000000002</v>
      </c>
      <c r="V58" s="911">
        <v>1.816067968869995E-2</v>
      </c>
      <c r="W58" s="911">
        <v>28.854054462649053</v>
      </c>
      <c r="X58" s="913">
        <v>18.16067968869995</v>
      </c>
      <c r="Y58" s="902"/>
      <c r="Z58" s="902"/>
      <c r="AA58" s="903">
        <v>5.166713371435136E-2</v>
      </c>
      <c r="AB58" s="903">
        <v>2.8450000000000002</v>
      </c>
      <c r="AC58" s="903">
        <v>1.816067968869995E-2</v>
      </c>
      <c r="AD58" s="903">
        <v>28.854054462649053</v>
      </c>
      <c r="AE58" s="903">
        <v>18.16067968869995</v>
      </c>
      <c r="AF58" s="903">
        <v>21.441690433520673</v>
      </c>
      <c r="AG58" s="903">
        <v>9.8100000000000007E-2</v>
      </c>
      <c r="AH58" s="903">
        <v>7.8700000000000006E-2</v>
      </c>
      <c r="AI58" s="903">
        <v>8.208978494623656E-2</v>
      </c>
      <c r="AJ58" s="903"/>
      <c r="AK58" s="903">
        <v>24.982261342886311</v>
      </c>
      <c r="AL58" s="903">
        <v>17.765064240938784</v>
      </c>
      <c r="AM58" s="903">
        <v>14.831558831872126</v>
      </c>
      <c r="AN58" s="903">
        <v>16.559768274204295</v>
      </c>
      <c r="AO58" s="903"/>
      <c r="AP58" s="903">
        <v>34.481546572934974</v>
      </c>
      <c r="AQ58" s="903">
        <v>27.66256590509666</v>
      </c>
      <c r="AR58" s="903">
        <v>28.854054462649053</v>
      </c>
      <c r="AU58" s="876"/>
      <c r="AV58" s="876"/>
      <c r="AW58" s="876"/>
      <c r="AX58" s="876"/>
      <c r="AY58" s="876"/>
      <c r="AZ58" s="876"/>
      <c r="BA58" s="876"/>
      <c r="BB58" s="876"/>
      <c r="BC58" s="876"/>
      <c r="BD58" s="876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</row>
    <row r="59" spans="1:74" x14ac:dyDescent="0.2">
      <c r="Q59" s="1386"/>
      <c r="R59" s="910" t="s">
        <v>109</v>
      </c>
      <c r="S59" s="910"/>
      <c r="T59" s="911">
        <v>5.7761890081474775E-2</v>
      </c>
      <c r="U59" s="912">
        <v>2.827</v>
      </c>
      <c r="V59" s="911">
        <v>2.0432221464971621E-2</v>
      </c>
      <c r="W59" s="911">
        <v>29.030086860826163</v>
      </c>
      <c r="X59" s="913">
        <v>20.432221464971622</v>
      </c>
      <c r="Y59" s="902"/>
      <c r="Z59" s="902"/>
      <c r="AA59" s="903">
        <v>5.7761890081474775E-2</v>
      </c>
      <c r="AB59" s="903">
        <v>2.827</v>
      </c>
      <c r="AC59" s="903">
        <v>2.0432221464971621E-2</v>
      </c>
      <c r="AD59" s="903">
        <v>29.030086860826163</v>
      </c>
      <c r="AE59" s="903">
        <v>20.432221464971622</v>
      </c>
      <c r="AF59" s="903">
        <v>21.441690433520673</v>
      </c>
      <c r="AG59" s="903">
        <v>9.8100000000000007E-2</v>
      </c>
      <c r="AH59" s="903">
        <v>7.8700000000000006E-2</v>
      </c>
      <c r="AI59" s="903">
        <v>8.2068055555555561E-2</v>
      </c>
      <c r="AJ59" s="903"/>
      <c r="AK59" s="903">
        <v>21.463659506719519</v>
      </c>
      <c r="AL59" s="903">
        <v>21.034796719755477</v>
      </c>
      <c r="AM59" s="903">
        <v>18.976756702017614</v>
      </c>
      <c r="AN59" s="903">
        <v>20.182244070610889</v>
      </c>
      <c r="AO59" s="903"/>
      <c r="AP59" s="903">
        <v>34.701096568800857</v>
      </c>
      <c r="AQ59" s="903">
        <v>27.838698266713834</v>
      </c>
      <c r="AR59" s="903">
        <v>29.030086860826163</v>
      </c>
      <c r="AU59" s="876"/>
      <c r="AV59" s="876"/>
      <c r="AW59" s="876"/>
      <c r="AX59" s="876"/>
      <c r="AY59" s="876"/>
      <c r="AZ59" s="876"/>
      <c r="BA59" s="876"/>
      <c r="BB59" s="876"/>
      <c r="BC59" s="876"/>
      <c r="BD59" s="876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</row>
    <row r="60" spans="1:74" x14ac:dyDescent="0.2">
      <c r="Q60" s="1386"/>
      <c r="R60" s="910" t="s">
        <v>110</v>
      </c>
      <c r="S60" s="910">
        <v>40360</v>
      </c>
      <c r="T60" s="911">
        <v>5.6145206767578795E-2</v>
      </c>
      <c r="U60" s="912">
        <v>2.8239999999999998</v>
      </c>
      <c r="V60" s="911">
        <v>1.9881447155658215E-2</v>
      </c>
      <c r="W60" s="911">
        <v>28.976286210362794</v>
      </c>
      <c r="X60" s="913">
        <v>19.881447155658215</v>
      </c>
      <c r="Y60" s="902"/>
      <c r="Z60" s="902"/>
      <c r="AA60" s="903">
        <v>5.6145206767578795E-2</v>
      </c>
      <c r="AB60" s="903">
        <v>2.8239999999999998</v>
      </c>
      <c r="AC60" s="903">
        <v>1.9881447155658215E-2</v>
      </c>
      <c r="AD60" s="903">
        <v>28.976286210362794</v>
      </c>
      <c r="AE60" s="903">
        <v>19.881447155658215</v>
      </c>
      <c r="AF60" s="903">
        <v>21.441690433520673</v>
      </c>
      <c r="AG60" s="903">
        <v>9.8100000000000007E-2</v>
      </c>
      <c r="AH60" s="903">
        <v>7.8700000000000006E-2</v>
      </c>
      <c r="AI60" s="903">
        <v>8.1829032258064524E-2</v>
      </c>
      <c r="AJ60" s="903"/>
      <c r="AK60" s="903">
        <v>21.317843781656617</v>
      </c>
      <c r="AL60" s="903">
        <v>20.740567326753307</v>
      </c>
      <c r="AM60" s="903">
        <v>17.836560787365386</v>
      </c>
      <c r="AN60" s="903">
        <v>19.545461965718157</v>
      </c>
      <c r="AO60" s="903"/>
      <c r="AP60" s="903">
        <v>34.737960339943349</v>
      </c>
      <c r="AQ60" s="903">
        <v>27.868271954674224</v>
      </c>
      <c r="AR60" s="903">
        <v>28.976286210362794</v>
      </c>
      <c r="AU60" s="876"/>
      <c r="AV60" s="876"/>
      <c r="AW60" s="876"/>
      <c r="AX60" s="876"/>
      <c r="AY60" s="876"/>
      <c r="AZ60" s="876"/>
      <c r="BA60" s="876"/>
      <c r="BB60" s="876"/>
      <c r="BC60" s="876"/>
      <c r="BD60" s="876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</row>
    <row r="61" spans="1:74" x14ac:dyDescent="0.2">
      <c r="Q61" s="1386"/>
      <c r="R61" s="910" t="s">
        <v>111</v>
      </c>
      <c r="S61" s="910"/>
      <c r="T61" s="911">
        <v>6.40553001393043E-2</v>
      </c>
      <c r="U61" s="912">
        <v>2.798</v>
      </c>
      <c r="V61" s="911">
        <v>2.2893245224912186E-2</v>
      </c>
      <c r="W61" s="911">
        <v>29.838833312807868</v>
      </c>
      <c r="X61" s="913">
        <v>22.893245224912185</v>
      </c>
      <c r="Y61" s="902"/>
      <c r="Z61" s="902"/>
      <c r="AA61" s="903">
        <v>6.40553001393043E-2</v>
      </c>
      <c r="AB61" s="903">
        <v>2.798</v>
      </c>
      <c r="AC61" s="903">
        <v>2.2893245224912186E-2</v>
      </c>
      <c r="AD61" s="903">
        <v>29.838833312807868</v>
      </c>
      <c r="AE61" s="903">
        <v>22.893245224912185</v>
      </c>
      <c r="AF61" s="903">
        <v>21.441690433520673</v>
      </c>
      <c r="AG61" s="903">
        <v>0.10056232718894011</v>
      </c>
      <c r="AH61" s="903">
        <v>7.9874193548387096E-2</v>
      </c>
      <c r="AI61" s="903">
        <v>8.3489055609236418E-2</v>
      </c>
      <c r="AJ61" s="903"/>
      <c r="AK61" s="903">
        <v>24.587899207448007</v>
      </c>
      <c r="AL61" s="903">
        <v>24.393126109597418</v>
      </c>
      <c r="AM61" s="903">
        <v>19.792591053589362</v>
      </c>
      <c r="AN61" s="903">
        <v>22.499645992605526</v>
      </c>
      <c r="AO61" s="903"/>
      <c r="AP61" s="903">
        <v>35.9407888452252</v>
      </c>
      <c r="AQ61" s="903">
        <v>28.54688833037423</v>
      </c>
      <c r="AR61" s="903">
        <v>29.838833312807868</v>
      </c>
      <c r="AU61" s="876"/>
      <c r="AV61" s="876"/>
      <c r="AW61" s="876"/>
      <c r="AX61" s="876"/>
      <c r="AY61" s="876"/>
      <c r="AZ61" s="876"/>
      <c r="BA61" s="876"/>
      <c r="BB61" s="876"/>
      <c r="BC61" s="876"/>
      <c r="BD61" s="876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</row>
    <row r="62" spans="1:74" x14ac:dyDescent="0.2">
      <c r="Q62" s="1386"/>
      <c r="R62" s="910" t="s">
        <v>112</v>
      </c>
      <c r="S62" s="910">
        <v>40422</v>
      </c>
      <c r="T62" s="911">
        <v>6.6473276573154688E-2</v>
      </c>
      <c r="U62" s="912">
        <v>2.7879999999999998</v>
      </c>
      <c r="V62" s="911">
        <v>2.384263865608131E-2</v>
      </c>
      <c r="W62" s="911">
        <v>29.970209628566881</v>
      </c>
      <c r="X62" s="913">
        <v>23.842638656081309</v>
      </c>
      <c r="Y62" s="902"/>
      <c r="Z62" s="902"/>
      <c r="AA62" s="903">
        <v>6.6473276573154688E-2</v>
      </c>
      <c r="AB62" s="903">
        <v>2.7879999999999998</v>
      </c>
      <c r="AC62" s="903">
        <v>2.384263865608131E-2</v>
      </c>
      <c r="AD62" s="903">
        <v>29.970209628566881</v>
      </c>
      <c r="AE62" s="903">
        <v>23.842638656081309</v>
      </c>
      <c r="AF62" s="903">
        <v>21.441690433520673</v>
      </c>
      <c r="AG62" s="903">
        <v>9.9700000000000011E-2</v>
      </c>
      <c r="AH62" s="903">
        <v>0.08</v>
      </c>
      <c r="AI62" s="903">
        <v>8.3556944444444448E-2</v>
      </c>
      <c r="AJ62" s="903"/>
      <c r="AK62" s="903">
        <v>25.541074897567452</v>
      </c>
      <c r="AL62" s="903">
        <v>24.759257024139458</v>
      </c>
      <c r="AM62" s="903">
        <v>21.528246449162467</v>
      </c>
      <c r="AN62" s="903">
        <v>23.408578221902452</v>
      </c>
      <c r="AO62" s="903"/>
      <c r="AP62" s="903">
        <v>35.76040172166428</v>
      </c>
      <c r="AQ62" s="903">
        <v>28.694404591104739</v>
      </c>
      <c r="AR62" s="903">
        <v>29.970209628566877</v>
      </c>
      <c r="AU62" s="876"/>
      <c r="AV62" s="876"/>
      <c r="AW62" s="876"/>
      <c r="AX62" s="876"/>
      <c r="AY62" s="876"/>
      <c r="AZ62" s="876"/>
      <c r="BA62" s="876"/>
      <c r="BB62" s="876"/>
      <c r="BC62" s="876"/>
      <c r="BD62" s="876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</row>
    <row r="63" spans="1:74" x14ac:dyDescent="0.2">
      <c r="Q63" s="1386"/>
      <c r="R63" s="910" t="s">
        <v>113</v>
      </c>
      <c r="S63" s="910"/>
      <c r="T63" s="911">
        <v>6.7791886041040583E-2</v>
      </c>
      <c r="U63" s="912">
        <v>2.798</v>
      </c>
      <c r="V63" s="911">
        <v>2.4228694081858678E-2</v>
      </c>
      <c r="W63" s="911">
        <v>29.822088742342839</v>
      </c>
      <c r="X63" s="913">
        <v>24.228694081858677</v>
      </c>
      <c r="Y63" s="902"/>
      <c r="Z63" s="902"/>
      <c r="AA63" s="903">
        <v>6.7791886041040583E-2</v>
      </c>
      <c r="AB63" s="903">
        <v>2.798</v>
      </c>
      <c r="AC63" s="903">
        <v>2.4228694081858678E-2</v>
      </c>
      <c r="AD63" s="903">
        <v>29.822088742342839</v>
      </c>
      <c r="AE63" s="903">
        <v>24.228694081858677</v>
      </c>
      <c r="AF63" s="903">
        <v>21.441690433520673</v>
      </c>
      <c r="AG63" s="903">
        <v>9.9700000000000011E-2</v>
      </c>
      <c r="AH63" s="903">
        <v>0.08</v>
      </c>
      <c r="AI63" s="903">
        <v>8.3442204301075268E-2</v>
      </c>
      <c r="AJ63" s="903"/>
      <c r="AK63" s="903">
        <v>26.386348589396025</v>
      </c>
      <c r="AL63" s="903">
        <v>24.926014556996144</v>
      </c>
      <c r="AM63" s="903">
        <v>22.023719406671493</v>
      </c>
      <c r="AN63" s="903">
        <v>23.726770599855051</v>
      </c>
      <c r="AO63" s="903"/>
      <c r="AP63" s="903">
        <v>35.632594710507512</v>
      </c>
      <c r="AQ63" s="903">
        <v>28.591851322373124</v>
      </c>
      <c r="AR63" s="903">
        <v>29.822088742342839</v>
      </c>
      <c r="AU63" s="876"/>
      <c r="AV63" s="876"/>
      <c r="AW63" s="876"/>
      <c r="AX63" s="876"/>
      <c r="AY63" s="876"/>
      <c r="AZ63" s="876"/>
      <c r="BA63" s="876"/>
      <c r="BB63" s="876"/>
      <c r="BC63" s="876"/>
      <c r="BD63" s="876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</row>
    <row r="64" spans="1:74" x14ac:dyDescent="0.2">
      <c r="Q64" s="1386"/>
      <c r="R64" s="910" t="s">
        <v>114</v>
      </c>
      <c r="S64" s="910">
        <v>40483</v>
      </c>
      <c r="T64" s="911">
        <v>6.542277168880252E-2</v>
      </c>
      <c r="U64" s="912">
        <v>2.8319999999999999</v>
      </c>
      <c r="V64" s="911">
        <v>2.3101261189548913E-2</v>
      </c>
      <c r="W64" s="911">
        <v>29.456263731952291</v>
      </c>
      <c r="X64" s="913">
        <v>23.101261189548914</v>
      </c>
      <c r="Y64" s="902"/>
      <c r="Z64" s="902"/>
      <c r="AA64" s="903">
        <v>6.542277168880252E-2</v>
      </c>
      <c r="AB64" s="903">
        <v>2.8319999999999999</v>
      </c>
      <c r="AC64" s="903">
        <v>2.3101261189548913E-2</v>
      </c>
      <c r="AD64" s="903">
        <v>29.456263731952291</v>
      </c>
      <c r="AE64" s="903">
        <v>23.101261189548914</v>
      </c>
      <c r="AF64" s="903">
        <v>21.441690433520673</v>
      </c>
      <c r="AG64" s="903">
        <v>9.9700000000000011E-2</v>
      </c>
      <c r="AH64" s="903">
        <v>0.08</v>
      </c>
      <c r="AI64" s="903">
        <v>8.3420138888888884E-2</v>
      </c>
      <c r="AJ64" s="903"/>
      <c r="AK64" s="903">
        <v>25.822971782493074</v>
      </c>
      <c r="AL64" s="903">
        <v>24.961720157616185</v>
      </c>
      <c r="AM64" s="903">
        <v>18.896536306185432</v>
      </c>
      <c r="AN64" s="903">
        <v>22.416125474128897</v>
      </c>
      <c r="AO64" s="903"/>
      <c r="AP64" s="903">
        <v>35.204802259887011</v>
      </c>
      <c r="AQ64" s="903">
        <v>28.248587570621471</v>
      </c>
      <c r="AR64" s="903">
        <v>29.456263731952291</v>
      </c>
      <c r="AU64" s="876"/>
      <c r="AV64" s="876"/>
      <c r="AW64" s="876"/>
      <c r="AX64" s="876"/>
      <c r="AY64" s="876"/>
      <c r="AZ64" s="876"/>
      <c r="BA64" s="876"/>
      <c r="BB64" s="876"/>
      <c r="BC64" s="876"/>
      <c r="BD64" s="876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</row>
    <row r="65" spans="17:74" ht="13.5" thickBot="1" x14ac:dyDescent="0.25">
      <c r="Q65" s="1387"/>
      <c r="R65" s="1114" t="s">
        <v>115</v>
      </c>
      <c r="S65" s="1114"/>
      <c r="T65" s="1115">
        <v>5.2691259154911435E-2</v>
      </c>
      <c r="U65" s="1122">
        <v>2.8090000000000002</v>
      </c>
      <c r="V65" s="1115">
        <v>1.8758013227095562E-2</v>
      </c>
      <c r="W65" s="1115">
        <v>29.611042846151197</v>
      </c>
      <c r="X65" s="1123">
        <v>18.75801322709556</v>
      </c>
      <c r="Y65" s="1124"/>
      <c r="Z65" s="1124"/>
      <c r="AA65" s="1119">
        <v>5.2691259154911435E-2</v>
      </c>
      <c r="AB65" s="1119">
        <v>2.8090000000000002</v>
      </c>
      <c r="AC65" s="1119">
        <v>1.8758013227095562E-2</v>
      </c>
      <c r="AD65" s="1119">
        <v>29.611042846151197</v>
      </c>
      <c r="AE65" s="1119">
        <v>18.75801322709556</v>
      </c>
      <c r="AF65" s="1119">
        <v>21.441690433520673</v>
      </c>
      <c r="AG65" s="1119">
        <v>9.9700000000000011E-2</v>
      </c>
      <c r="AH65" s="1119">
        <v>0.08</v>
      </c>
      <c r="AI65" s="1119">
        <v>8.3177419354838716E-2</v>
      </c>
      <c r="AJ65" s="1119"/>
      <c r="AK65" s="1119">
        <v>23.247879371309327</v>
      </c>
      <c r="AL65" s="1119">
        <v>19.183003760810774</v>
      </c>
      <c r="AM65" s="1119">
        <v>14.057375546481614</v>
      </c>
      <c r="AN65" s="1119">
        <v>17.064624129341791</v>
      </c>
      <c r="AO65" s="1119"/>
      <c r="AP65" s="1119">
        <v>35.493058027767894</v>
      </c>
      <c r="AQ65" s="1119">
        <v>28.479886080455675</v>
      </c>
      <c r="AR65" s="1119">
        <v>29.6110428461512</v>
      </c>
      <c r="AU65" s="876"/>
      <c r="AV65" s="876"/>
      <c r="AW65" s="876"/>
      <c r="AX65" s="876"/>
      <c r="AY65" s="876"/>
      <c r="AZ65" s="876"/>
      <c r="BA65" s="876"/>
      <c r="BB65" s="876"/>
      <c r="BC65" s="876"/>
      <c r="BD65" s="876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</row>
    <row r="66" spans="17:74" ht="13.5" thickTop="1" x14ac:dyDescent="0.2">
      <c r="Q66" s="1386">
        <v>2011</v>
      </c>
      <c r="R66" s="910" t="s">
        <v>97</v>
      </c>
      <c r="S66" s="910">
        <v>40544</v>
      </c>
      <c r="T66" s="911">
        <v>4.8713932672003475E-2</v>
      </c>
      <c r="U66" s="912">
        <v>2.7730000000000001</v>
      </c>
      <c r="V66" s="911">
        <v>1.7567231399929127E-2</v>
      </c>
      <c r="W66" s="911">
        <v>30.043206573370714</v>
      </c>
      <c r="X66" s="913">
        <v>17.567231399929128</v>
      </c>
      <c r="Y66" s="902"/>
      <c r="Z66" s="902"/>
      <c r="AA66" s="903">
        <v>4.8713932672003475E-2</v>
      </c>
      <c r="AB66" s="903">
        <v>2.7730000000000001</v>
      </c>
      <c r="AC66" s="903">
        <v>1.7567231399929127E-2</v>
      </c>
      <c r="AD66" s="903">
        <v>30.043206573370714</v>
      </c>
      <c r="AE66" s="903">
        <v>17.567231399929128</v>
      </c>
      <c r="AF66" s="903">
        <v>23.876667417638043</v>
      </c>
      <c r="AG66" s="903">
        <v>9.9700000000000011E-2</v>
      </c>
      <c r="AH66" s="903">
        <v>0.08</v>
      </c>
      <c r="AI66" s="903">
        <v>8.3309811827956992E-2</v>
      </c>
      <c r="AJ66" s="903"/>
      <c r="AK66" s="903">
        <v>24.910932225027679</v>
      </c>
      <c r="AL66" s="903">
        <v>19.29294048180995</v>
      </c>
      <c r="AM66" s="903">
        <v>11.012501428754492</v>
      </c>
      <c r="AN66" s="903">
        <v>15.884286715265619</v>
      </c>
      <c r="AO66" s="903"/>
      <c r="AP66" s="903">
        <v>35.953840605842053</v>
      </c>
      <c r="AQ66" s="903">
        <v>28.849621348719797</v>
      </c>
      <c r="AR66" s="903">
        <v>30.043206573370714</v>
      </c>
      <c r="AU66" s="876"/>
      <c r="AV66" s="876"/>
      <c r="AW66" s="876"/>
      <c r="AX66" s="876"/>
      <c r="AY66" s="876"/>
      <c r="AZ66" s="876"/>
      <c r="BA66" s="876"/>
      <c r="BB66" s="876"/>
      <c r="BC66" s="876"/>
      <c r="BD66" s="876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</row>
    <row r="67" spans="17:74" x14ac:dyDescent="0.2">
      <c r="Q67" s="1386"/>
      <c r="R67" s="910" t="s">
        <v>102</v>
      </c>
      <c r="S67" s="910"/>
      <c r="T67" s="911">
        <v>6.0334185662621255E-2</v>
      </c>
      <c r="U67" s="912">
        <v>2.7749999999999999</v>
      </c>
      <c r="V67" s="911">
        <v>2.1742048887431083E-2</v>
      </c>
      <c r="W67" s="911">
        <v>30.096525096525095</v>
      </c>
      <c r="X67" s="913">
        <v>21.742048887431082</v>
      </c>
      <c r="Y67" s="902"/>
      <c r="Z67" s="902"/>
      <c r="AA67" s="903">
        <v>6.0334185662621255E-2</v>
      </c>
      <c r="AB67" s="903">
        <v>2.7749999999999999</v>
      </c>
      <c r="AC67" s="903">
        <v>2.1742048887431083E-2</v>
      </c>
      <c r="AD67" s="903">
        <v>30.096525096525095</v>
      </c>
      <c r="AE67" s="903">
        <v>21.742048887431082</v>
      </c>
      <c r="AF67" s="903">
        <v>23.876667417638043</v>
      </c>
      <c r="AG67" s="903">
        <v>9.9700000000000011E-2</v>
      </c>
      <c r="AH67" s="903">
        <v>0.08</v>
      </c>
      <c r="AI67" s="903">
        <v>8.3517857142857144E-2</v>
      </c>
      <c r="AJ67" s="903"/>
      <c r="AK67" s="903">
        <v>32.418733329720361</v>
      </c>
      <c r="AL67" s="903">
        <v>25.149740880298509</v>
      </c>
      <c r="AM67" s="903">
        <v>10.67174180110618</v>
      </c>
      <c r="AN67" s="903">
        <v>19.14695235421005</v>
      </c>
      <c r="AO67" s="903"/>
      <c r="AP67" s="903">
        <v>35.927927927927932</v>
      </c>
      <c r="AQ67" s="903">
        <v>28.828828828828829</v>
      </c>
      <c r="AR67" s="903">
        <v>30.096525096525099</v>
      </c>
      <c r="AU67" s="876"/>
      <c r="AV67" s="876"/>
      <c r="AW67" s="876"/>
      <c r="AX67" s="876"/>
      <c r="AY67" s="876"/>
      <c r="AZ67" s="876"/>
      <c r="BA67" s="876"/>
      <c r="BB67" s="876"/>
      <c r="BC67" s="876"/>
      <c r="BD67" s="876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</row>
    <row r="68" spans="17:74" x14ac:dyDescent="0.2">
      <c r="Q68" s="1386"/>
      <c r="R68" s="910" t="s">
        <v>106</v>
      </c>
      <c r="S68" s="910">
        <v>40603</v>
      </c>
      <c r="T68" s="911">
        <v>6.066172534597207E-2</v>
      </c>
      <c r="U68" s="912">
        <v>2.8050000000000002</v>
      </c>
      <c r="V68" s="911">
        <v>2.1626283545801095E-2</v>
      </c>
      <c r="W68" s="911">
        <v>29.794865160140301</v>
      </c>
      <c r="X68" s="913">
        <v>21.626283545801094</v>
      </c>
      <c r="Y68" s="902"/>
      <c r="Z68" s="902"/>
      <c r="AA68" s="903">
        <v>6.066172534597207E-2</v>
      </c>
      <c r="AB68" s="903">
        <v>2.8050000000000002</v>
      </c>
      <c r="AC68" s="903">
        <v>2.1626283545801095E-2</v>
      </c>
      <c r="AD68" s="903">
        <v>29.794865160140301</v>
      </c>
      <c r="AE68" s="903">
        <v>21.626283545801094</v>
      </c>
      <c r="AF68" s="903">
        <v>23.876667417638043</v>
      </c>
      <c r="AG68" s="903">
        <v>9.9700000000000011E-2</v>
      </c>
      <c r="AH68" s="903">
        <v>0.08</v>
      </c>
      <c r="AI68" s="903">
        <v>8.3574596774193557E-2</v>
      </c>
      <c r="AJ68" s="903"/>
      <c r="AK68" s="903">
        <v>34.790391398760995</v>
      </c>
      <c r="AL68" s="903">
        <v>24.50285975859877</v>
      </c>
      <c r="AM68" s="903">
        <v>9.7056741719077646</v>
      </c>
      <c r="AN68" s="903">
        <v>18.345505776383938</v>
      </c>
      <c r="AO68" s="903"/>
      <c r="AP68" s="903">
        <v>35.543672014260252</v>
      </c>
      <c r="AQ68" s="903">
        <v>28.520499108734402</v>
      </c>
      <c r="AR68" s="903">
        <v>29.794865160140304</v>
      </c>
      <c r="AU68" s="876"/>
      <c r="AV68" s="876"/>
      <c r="AW68" s="876"/>
      <c r="AX68" s="876"/>
      <c r="AY68" s="876"/>
      <c r="AZ68" s="876"/>
      <c r="BA68" s="876"/>
      <c r="BB68" s="876"/>
      <c r="BC68" s="876"/>
      <c r="BD68" s="876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</row>
    <row r="69" spans="17:74" x14ac:dyDescent="0.2">
      <c r="Q69" s="1386"/>
      <c r="R69" s="910" t="s">
        <v>107</v>
      </c>
      <c r="S69" s="910"/>
      <c r="T69" s="911">
        <v>5.0539158567581781E-2</v>
      </c>
      <c r="U69" s="912">
        <v>2.8210000000000002</v>
      </c>
      <c r="V69" s="911">
        <v>1.7915334479823387E-2</v>
      </c>
      <c r="W69" s="911">
        <v>31.034749300878332</v>
      </c>
      <c r="X69" s="913">
        <v>17.915334479823386</v>
      </c>
      <c r="Y69" s="902"/>
      <c r="Z69" s="902"/>
      <c r="AA69" s="903">
        <v>5.0539158567581781E-2</v>
      </c>
      <c r="AB69" s="903">
        <v>2.8210000000000002</v>
      </c>
      <c r="AC69" s="903">
        <v>1.7915334479823387E-2</v>
      </c>
      <c r="AD69" s="903">
        <v>31.034749300878332</v>
      </c>
      <c r="AE69" s="903">
        <v>17.915334479823386</v>
      </c>
      <c r="AF69" s="903">
        <v>23.876667417638043</v>
      </c>
      <c r="AG69" s="903">
        <v>0.10501000000000001</v>
      </c>
      <c r="AH69" s="903">
        <v>8.4229999999999999E-2</v>
      </c>
      <c r="AI69" s="903">
        <v>8.7549027777777774E-2</v>
      </c>
      <c r="AJ69" s="903"/>
      <c r="AK69" s="903">
        <v>28.504131311093403</v>
      </c>
      <c r="AL69" s="903">
        <v>20.001312141588869</v>
      </c>
      <c r="AM69" s="903">
        <v>9.0273833634081324</v>
      </c>
      <c r="AN69" s="903">
        <v>15.489182614531121</v>
      </c>
      <c r="AO69" s="903"/>
      <c r="AP69" s="903">
        <v>37.224388514711094</v>
      </c>
      <c r="AQ69" s="903">
        <v>29.858206309819209</v>
      </c>
      <c r="AR69" s="903">
        <v>31.034749300878328</v>
      </c>
      <c r="AU69" s="876"/>
      <c r="AV69" s="876"/>
      <c r="AW69" s="876"/>
      <c r="AX69" s="876"/>
      <c r="AY69" s="876"/>
      <c r="AZ69" s="876"/>
      <c r="BA69" s="876"/>
      <c r="BB69" s="876"/>
      <c r="BC69" s="876"/>
      <c r="BD69" s="876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</row>
    <row r="70" spans="17:74" x14ac:dyDescent="0.2">
      <c r="Q70" s="1386"/>
      <c r="R70" s="910" t="s">
        <v>108</v>
      </c>
      <c r="S70" s="910">
        <v>40664</v>
      </c>
      <c r="T70" s="911">
        <v>5.1984722197005492E-2</v>
      </c>
      <c r="U70" s="912">
        <v>2.7669999999999999</v>
      </c>
      <c r="V70" s="911">
        <v>1.8787395083847306E-2</v>
      </c>
      <c r="W70" s="911">
        <v>34.174848154021788</v>
      </c>
      <c r="X70" s="913">
        <v>18.787395083847304</v>
      </c>
      <c r="Y70" s="902"/>
      <c r="Z70" s="902"/>
      <c r="AA70" s="903">
        <v>5.1984722197005492E-2</v>
      </c>
      <c r="AB70" s="903">
        <v>2.7669999999999999</v>
      </c>
      <c r="AC70" s="903">
        <v>1.8787395083847306E-2</v>
      </c>
      <c r="AD70" s="903">
        <v>34.177654950740617</v>
      </c>
      <c r="AE70" s="903">
        <v>18.787395083847304</v>
      </c>
      <c r="AF70" s="903">
        <v>23.876667417638043</v>
      </c>
      <c r="AG70" s="903">
        <v>9.7976705806451611E-2</v>
      </c>
      <c r="AH70" s="903">
        <v>9.3848190967741926E-2</v>
      </c>
      <c r="AI70" s="903">
        <v>9.4569571248699275E-2</v>
      </c>
      <c r="AJ70" s="903"/>
      <c r="AK70" s="903">
        <v>25.0173102413004</v>
      </c>
      <c r="AL70" s="903">
        <v>19.334063094475294</v>
      </c>
      <c r="AM70" s="903">
        <v>14.369618236639932</v>
      </c>
      <c r="AN70" s="903">
        <v>17.269179665966952</v>
      </c>
      <c r="AO70" s="903"/>
      <c r="AP70" s="903">
        <v>35.409001014257903</v>
      </c>
      <c r="AQ70" s="903">
        <v>33.916946500810234</v>
      </c>
      <c r="AR70" s="903">
        <v>34.17765495074061</v>
      </c>
      <c r="AU70" s="876"/>
      <c r="AV70" s="876"/>
      <c r="AW70" s="876"/>
      <c r="AX70" s="876"/>
      <c r="AY70" s="876"/>
      <c r="AZ70" s="876"/>
      <c r="BA70" s="876"/>
      <c r="BB70" s="876"/>
      <c r="BC70" s="876"/>
      <c r="BD70" s="876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</row>
    <row r="71" spans="17:74" x14ac:dyDescent="0.2">
      <c r="Q71" s="1386"/>
      <c r="R71" s="910" t="s">
        <v>109</v>
      </c>
      <c r="S71" s="910"/>
      <c r="T71" s="903">
        <v>7.1103784841545573E-2</v>
      </c>
      <c r="U71" s="903">
        <v>2.75</v>
      </c>
      <c r="V71" s="903">
        <v>2.5855921760562027E-2</v>
      </c>
      <c r="W71" s="903">
        <v>34.412700530303027</v>
      </c>
      <c r="X71" s="903">
        <v>25.855921760562026</v>
      </c>
      <c r="Y71" s="923"/>
      <c r="Z71" s="923"/>
      <c r="AA71" s="903">
        <v>7.1103784841545573E-2</v>
      </c>
      <c r="AB71" s="903">
        <v>2.75</v>
      </c>
      <c r="AC71" s="903">
        <v>2.5855921760562027E-2</v>
      </c>
      <c r="AD71" s="903">
        <v>34.412700530303027</v>
      </c>
      <c r="AE71" s="903">
        <v>25.855921760562026</v>
      </c>
      <c r="AF71" s="903">
        <v>23.876667417638043</v>
      </c>
      <c r="AG71" s="903">
        <v>9.8049209999999998E-2</v>
      </c>
      <c r="AH71" s="903">
        <v>9.3917639999999997E-2</v>
      </c>
      <c r="AI71" s="903">
        <v>9.4634926458333324E-2</v>
      </c>
      <c r="AJ71" s="903"/>
      <c r="AK71" s="903">
        <v>29.487942505995498</v>
      </c>
      <c r="AL71" s="903">
        <v>27.896330879397134</v>
      </c>
      <c r="AM71" s="903">
        <v>20.874540171209929</v>
      </c>
      <c r="AN71" s="903">
        <v>24.979963326666148</v>
      </c>
      <c r="AO71" s="903"/>
      <c r="AP71" s="903">
        <v>35.654258181818179</v>
      </c>
      <c r="AQ71" s="903">
        <v>34.151869090909088</v>
      </c>
      <c r="AR71" s="903">
        <v>34.412700530303027</v>
      </c>
      <c r="AU71" s="876"/>
      <c r="AV71" s="876"/>
      <c r="AW71" s="876"/>
      <c r="AX71" s="876"/>
      <c r="AY71" s="876"/>
      <c r="AZ71" s="876"/>
      <c r="BA71" s="876"/>
      <c r="BB71" s="876"/>
      <c r="BC71" s="876"/>
      <c r="BD71" s="876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</row>
    <row r="72" spans="17:74" x14ac:dyDescent="0.2">
      <c r="Q72" s="1386"/>
      <c r="R72" s="910" t="s">
        <v>110</v>
      </c>
      <c r="S72" s="910">
        <v>40725</v>
      </c>
      <c r="T72" s="903">
        <v>5.598652726443195E-2</v>
      </c>
      <c r="U72" s="903">
        <v>2.738</v>
      </c>
      <c r="V72" s="903">
        <v>2.0447964669259296E-2</v>
      </c>
      <c r="W72" s="903">
        <v>34.544931430995071</v>
      </c>
      <c r="X72" s="903">
        <v>20.447964669259296</v>
      </c>
      <c r="Y72" s="923"/>
      <c r="Z72" s="923"/>
      <c r="AA72" s="903">
        <v>5.598652726443195E-2</v>
      </c>
      <c r="AB72" s="903">
        <v>2.738</v>
      </c>
      <c r="AC72" s="903">
        <v>2.0447964669259296E-2</v>
      </c>
      <c r="AD72" s="903">
        <v>34.544931430995071</v>
      </c>
      <c r="AE72" s="903">
        <v>20.447964669259296</v>
      </c>
      <c r="AF72" s="903">
        <v>23.876667417638043</v>
      </c>
      <c r="AG72" s="903">
        <v>9.8049209999999998E-2</v>
      </c>
      <c r="AH72" s="903">
        <v>9.3917639999999997E-2</v>
      </c>
      <c r="AI72" s="903">
        <v>9.4584022258064504E-2</v>
      </c>
      <c r="AJ72" s="903"/>
      <c r="AK72" s="903">
        <v>25.96211829393523</v>
      </c>
      <c r="AL72" s="903">
        <v>22.35644241253015</v>
      </c>
      <c r="AM72" s="903">
        <v>14.691854892797782</v>
      </c>
      <c r="AN72" s="903">
        <v>19.225183984121603</v>
      </c>
      <c r="AO72" s="903"/>
      <c r="AP72" s="903">
        <v>35.810522279035794</v>
      </c>
      <c r="AQ72" s="903">
        <v>34.301548575602631</v>
      </c>
      <c r="AR72" s="903">
        <v>34.544931430995071</v>
      </c>
      <c r="AU72" s="876"/>
      <c r="AV72" s="876"/>
      <c r="AW72" s="876"/>
      <c r="AX72" s="876"/>
      <c r="AY72" s="876"/>
      <c r="AZ72" s="876"/>
      <c r="BA72" s="876"/>
      <c r="BB72" s="876"/>
      <c r="BC72" s="876"/>
      <c r="BD72" s="876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</row>
    <row r="73" spans="17:74" x14ac:dyDescent="0.2">
      <c r="Q73" s="1386"/>
      <c r="R73" s="910" t="s">
        <v>111</v>
      </c>
      <c r="S73" s="910"/>
      <c r="T73" s="903">
        <v>8.593792412650697E-2</v>
      </c>
      <c r="U73" s="903">
        <v>2.7269999999999999</v>
      </c>
      <c r="V73" s="903">
        <v>3.1513723552074428E-2</v>
      </c>
      <c r="W73" s="903">
        <v>34.704640305428391</v>
      </c>
      <c r="X73" s="903">
        <v>31.513723552074428</v>
      </c>
      <c r="Y73" s="923"/>
      <c r="Z73" s="923"/>
      <c r="AA73" s="903">
        <v>8.593792412650697E-2</v>
      </c>
      <c r="AB73" s="903">
        <v>2.7269999999999999</v>
      </c>
      <c r="AC73" s="903">
        <v>3.1513723552074428E-2</v>
      </c>
      <c r="AD73" s="903">
        <v>34.704640305428391</v>
      </c>
      <c r="AE73" s="903">
        <v>31.513723552074428</v>
      </c>
      <c r="AF73" s="903">
        <v>23.876667417638043</v>
      </c>
      <c r="AG73" s="903">
        <v>9.8049209999999998E-2</v>
      </c>
      <c r="AH73" s="903">
        <v>9.3917639999999997E-2</v>
      </c>
      <c r="AI73" s="903">
        <v>9.4639554112903229E-2</v>
      </c>
      <c r="AJ73" s="903"/>
      <c r="AK73" s="903">
        <v>39.045789774757203</v>
      </c>
      <c r="AL73" s="903">
        <v>35.541968195036581</v>
      </c>
      <c r="AM73" s="903">
        <v>21.440079203036973</v>
      </c>
      <c r="AN73" s="903">
        <v>29.695650583857375</v>
      </c>
      <c r="AO73" s="903"/>
      <c r="AP73" s="903">
        <v>35.954972497249727</v>
      </c>
      <c r="AQ73" s="903">
        <v>34.439911991199118</v>
      </c>
      <c r="AR73" s="903">
        <v>34.704640305428391</v>
      </c>
      <c r="AU73" s="876"/>
      <c r="AV73" s="876"/>
      <c r="AW73" s="876"/>
      <c r="AX73" s="876"/>
      <c r="AY73" s="876"/>
      <c r="AZ73" s="876"/>
      <c r="BA73" s="876"/>
      <c r="BB73" s="876"/>
      <c r="BC73" s="876"/>
      <c r="BD73" s="876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</row>
    <row r="74" spans="17:74" x14ac:dyDescent="0.2">
      <c r="Q74" s="1386"/>
      <c r="R74" s="910" t="s">
        <v>112</v>
      </c>
      <c r="S74" s="910">
        <v>40787</v>
      </c>
      <c r="T74" s="903">
        <v>9.3243448415063115E-2</v>
      </c>
      <c r="U74" s="903">
        <v>2.7730000000000001</v>
      </c>
      <c r="V74" s="903">
        <v>3.3625477250293224E-2</v>
      </c>
      <c r="W74" s="903">
        <v>34.137619154946506</v>
      </c>
      <c r="X74" s="903">
        <v>33.625477250293223</v>
      </c>
      <c r="Y74" s="923"/>
      <c r="Z74" s="923"/>
      <c r="AA74" s="903">
        <v>9.3243448415063115E-2</v>
      </c>
      <c r="AB74" s="903">
        <v>2.7730000000000001</v>
      </c>
      <c r="AC74" s="903">
        <v>3.3625477250293224E-2</v>
      </c>
      <c r="AD74" s="903">
        <v>34.137619154946506</v>
      </c>
      <c r="AE74" s="903">
        <v>33.625477250293223</v>
      </c>
      <c r="AF74" s="903">
        <v>23.876667417638043</v>
      </c>
      <c r="AG74" s="903">
        <v>9.8049209999999998E-2</v>
      </c>
      <c r="AH74" s="903">
        <v>9.3917639999999997E-2</v>
      </c>
      <c r="AI74" s="903">
        <v>9.4663617916666665E-2</v>
      </c>
      <c r="AJ74" s="903"/>
      <c r="AK74" s="903">
        <v>44.283733536517715</v>
      </c>
      <c r="AL74" s="903">
        <v>38.452170018248381</v>
      </c>
      <c r="AM74" s="903">
        <v>20.456928589734911</v>
      </c>
      <c r="AN74" s="903">
        <v>30.930430392347482</v>
      </c>
      <c r="AO74" s="903"/>
      <c r="AP74" s="903">
        <v>35.35853227551388</v>
      </c>
      <c r="AQ74" s="903">
        <v>33.868604399567253</v>
      </c>
      <c r="AR74" s="903">
        <v>34.137619154946506</v>
      </c>
      <c r="AU74" s="876"/>
      <c r="AV74" s="876"/>
      <c r="AW74" s="876"/>
      <c r="AX74" s="876"/>
      <c r="AY74" s="876"/>
      <c r="AZ74" s="876"/>
      <c r="BA74" s="876"/>
      <c r="BB74" s="876"/>
      <c r="BC74" s="876"/>
      <c r="BD74" s="876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</row>
    <row r="75" spans="17:74" x14ac:dyDescent="0.2">
      <c r="Q75" s="1386"/>
      <c r="R75" s="910" t="s">
        <v>113</v>
      </c>
      <c r="S75" s="910"/>
      <c r="T75" s="903">
        <v>7.328301115144023E-2</v>
      </c>
      <c r="U75" s="903">
        <v>2.7080000000000002</v>
      </c>
      <c r="V75" s="903">
        <v>2.7061673246469804E-2</v>
      </c>
      <c r="W75" s="903">
        <v>34.948136673893359</v>
      </c>
      <c r="X75" s="903">
        <v>27.061673246469805</v>
      </c>
      <c r="Y75" s="923"/>
      <c r="Z75" s="923"/>
      <c r="AA75" s="903">
        <v>7.328301115144023E-2</v>
      </c>
      <c r="AB75" s="903">
        <v>2.7080000000000002</v>
      </c>
      <c r="AC75" s="903">
        <v>2.7061673246469804E-2</v>
      </c>
      <c r="AD75" s="903">
        <v>34.948136673893359</v>
      </c>
      <c r="AE75" s="903">
        <v>27.061673246469805</v>
      </c>
      <c r="AF75" s="903">
        <v>23.876667417638043</v>
      </c>
      <c r="AG75" s="903">
        <v>9.8049209999999998E-2</v>
      </c>
      <c r="AH75" s="903">
        <v>9.3917639999999997E-2</v>
      </c>
      <c r="AI75" s="903">
        <v>9.4639554112903229E-2</v>
      </c>
      <c r="AJ75" s="903"/>
      <c r="AK75" s="903">
        <v>37.049424417334315</v>
      </c>
      <c r="AL75" s="903">
        <v>30.512559528340798</v>
      </c>
      <c r="AM75" s="903">
        <v>16.530716012754279</v>
      </c>
      <c r="AN75" s="903">
        <v>24.749581216667362</v>
      </c>
      <c r="AO75" s="903"/>
      <c r="AP75" s="903">
        <v>36.207241506646966</v>
      </c>
      <c r="AQ75" s="903">
        <v>34.681550960118166</v>
      </c>
      <c r="AR75" s="903">
        <v>34.948136673893366</v>
      </c>
      <c r="AU75" s="876"/>
      <c r="AV75" s="876"/>
      <c r="AW75" s="876"/>
      <c r="AX75" s="876"/>
      <c r="AY75" s="876"/>
      <c r="AZ75" s="876"/>
      <c r="BA75" s="876"/>
      <c r="BB75" s="876"/>
      <c r="BC75" s="876"/>
      <c r="BD75" s="876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</row>
    <row r="76" spans="17:74" x14ac:dyDescent="0.2">
      <c r="Q76" s="1386"/>
      <c r="R76" s="910" t="s">
        <v>114</v>
      </c>
      <c r="S76" s="910">
        <v>40848</v>
      </c>
      <c r="T76" s="903">
        <v>7.7156576607838978E-2</v>
      </c>
      <c r="U76" s="903">
        <v>2.7</v>
      </c>
      <c r="V76" s="903">
        <v>2.8576509854755176E-2</v>
      </c>
      <c r="W76" s="903">
        <v>35.049972762345675</v>
      </c>
      <c r="X76" s="903">
        <v>28.576509854755177</v>
      </c>
      <c r="Y76" s="923"/>
      <c r="Z76" s="923"/>
      <c r="AA76" s="903">
        <v>7.7156576607838978E-2</v>
      </c>
      <c r="AB76" s="903">
        <v>2.7</v>
      </c>
      <c r="AC76" s="903">
        <v>2.8576509854755176E-2</v>
      </c>
      <c r="AD76" s="903">
        <v>35.049972762345675</v>
      </c>
      <c r="AE76" s="903">
        <v>28.576509854755177</v>
      </c>
      <c r="AF76" s="903">
        <v>23.876667417638043</v>
      </c>
      <c r="AG76" s="903">
        <v>9.8049209999999998E-2</v>
      </c>
      <c r="AH76" s="903">
        <v>9.3917639999999997E-2</v>
      </c>
      <c r="AI76" s="903">
        <v>9.4634926458333324E-2</v>
      </c>
      <c r="AJ76" s="903"/>
      <c r="AK76" s="903">
        <v>35.84532441039007</v>
      </c>
      <c r="AL76" s="903">
        <v>33.926676611104533</v>
      </c>
      <c r="AM76" s="903">
        <v>16.819714583248359</v>
      </c>
      <c r="AN76" s="903">
        <v>26.831513522773371</v>
      </c>
      <c r="AO76" s="903"/>
      <c r="AP76" s="903">
        <v>36.314522222222223</v>
      </c>
      <c r="AQ76" s="903">
        <v>34.784311111111101</v>
      </c>
      <c r="AR76" s="903">
        <v>35.049972762345675</v>
      </c>
      <c r="AU76" s="876"/>
      <c r="AV76" s="876"/>
      <c r="AW76" s="876"/>
      <c r="AX76" s="876"/>
      <c r="AY76" s="876"/>
      <c r="AZ76" s="876"/>
      <c r="BA76" s="876"/>
      <c r="BB76" s="876"/>
      <c r="BC76" s="876"/>
      <c r="BD76" s="876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</row>
    <row r="77" spans="17:74" ht="13.5" thickBot="1" x14ac:dyDescent="0.25">
      <c r="Q77" s="1387"/>
      <c r="R77" s="1114" t="s">
        <v>115</v>
      </c>
      <c r="S77" s="1114"/>
      <c r="T77" s="1119">
        <v>5.8180072108915355E-2</v>
      </c>
      <c r="U77" s="1119">
        <v>2.6970000000000001</v>
      </c>
      <c r="V77" s="1119">
        <v>2.1572143903935987E-2</v>
      </c>
      <c r="W77" s="1119">
        <v>35.070086117191138</v>
      </c>
      <c r="X77" s="1119">
        <v>21.572143903935988</v>
      </c>
      <c r="Y77" s="1121"/>
      <c r="Z77" s="1121"/>
      <c r="AA77" s="1119">
        <v>5.8180072108915355E-2</v>
      </c>
      <c r="AB77" s="1119">
        <v>2.6970000000000001</v>
      </c>
      <c r="AC77" s="1119">
        <v>2.1572143903935987E-2</v>
      </c>
      <c r="AD77" s="1119">
        <v>35.070086117191138</v>
      </c>
      <c r="AE77" s="1119">
        <v>21.572143903935988</v>
      </c>
      <c r="AF77" s="1119">
        <v>23.876667417638043</v>
      </c>
      <c r="AG77" s="1119">
        <v>9.8049209999999998E-2</v>
      </c>
      <c r="AH77" s="1119">
        <v>9.3917639999999997E-2</v>
      </c>
      <c r="AI77" s="1119">
        <v>9.4584022258064504E-2</v>
      </c>
      <c r="AJ77" s="1119"/>
      <c r="AK77" s="1119">
        <v>34.555815771047776</v>
      </c>
      <c r="AL77" s="1119">
        <v>24.495942841441536</v>
      </c>
      <c r="AM77" s="1119">
        <v>9.9280829820049732</v>
      </c>
      <c r="AN77" s="1119">
        <v>18.432233927598588</v>
      </c>
      <c r="AO77" s="1119"/>
      <c r="AP77" s="1119">
        <v>36.354916573971082</v>
      </c>
      <c r="AQ77" s="1119">
        <v>34.823003337041158</v>
      </c>
      <c r="AR77" s="1119">
        <v>35.070086117191138</v>
      </c>
      <c r="AU77" s="876"/>
      <c r="AV77" s="876"/>
      <c r="AW77" s="876"/>
      <c r="AX77" s="876"/>
      <c r="AY77" s="876"/>
      <c r="AZ77" s="876"/>
      <c r="BA77" s="876"/>
      <c r="BB77" s="876"/>
      <c r="BC77" s="876"/>
      <c r="BD77" s="876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</row>
    <row r="78" spans="17:74" ht="13.5" thickTop="1" x14ac:dyDescent="0.2">
      <c r="Q78" s="1386">
        <v>2012</v>
      </c>
      <c r="R78" s="910" t="s">
        <v>97</v>
      </c>
      <c r="S78" s="910">
        <v>40909</v>
      </c>
      <c r="T78" s="911">
        <v>5.6305147470373261E-2</v>
      </c>
      <c r="U78" s="912">
        <v>2.6909999999999998</v>
      </c>
      <c r="V78" s="911">
        <v>2.0923503333472041E-2</v>
      </c>
      <c r="W78" s="911">
        <v>35.158598359525783</v>
      </c>
      <c r="X78" s="913">
        <v>20.923503333472041</v>
      </c>
      <c r="Y78" s="924"/>
      <c r="Z78" s="924"/>
      <c r="AA78" s="903">
        <v>5.6305147470373261E-2</v>
      </c>
      <c r="AB78" s="903">
        <v>2.6909999999999998</v>
      </c>
      <c r="AC78" s="903">
        <v>2.0923503333472041E-2</v>
      </c>
      <c r="AD78" s="903">
        <v>35.158598359525783</v>
      </c>
      <c r="AE78" s="903">
        <v>20.923503333472041</v>
      </c>
      <c r="AF78" s="903">
        <v>30.856396222824159</v>
      </c>
      <c r="AG78" s="903">
        <v>9.8049209999999998E-2</v>
      </c>
      <c r="AH78" s="903">
        <v>9.3917639999999997E-2</v>
      </c>
      <c r="AI78" s="903">
        <v>9.461178818548388E-2</v>
      </c>
      <c r="AJ78" s="903"/>
      <c r="AK78" s="903">
        <v>34.160661103837626</v>
      </c>
      <c r="AL78" s="903">
        <v>26.266183594577186</v>
      </c>
      <c r="AM78" s="903">
        <v>5.51090291593695</v>
      </c>
      <c r="AN78" s="903">
        <v>17.746181736755723</v>
      </c>
      <c r="AO78" s="903"/>
      <c r="AP78" s="903">
        <v>36.435975473801562</v>
      </c>
      <c r="AQ78" s="903">
        <v>34.900646599777033</v>
      </c>
      <c r="AR78" s="903">
        <v>35.158598359525783</v>
      </c>
      <c r="AU78" s="876"/>
      <c r="AV78" s="876"/>
      <c r="AW78" s="876"/>
      <c r="AX78" s="876"/>
      <c r="AY78" s="876"/>
      <c r="AZ78" s="876"/>
      <c r="BA78" s="876"/>
      <c r="BB78" s="876"/>
      <c r="BC78" s="876"/>
      <c r="BD78" s="876"/>
      <c r="BE78" s="926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</row>
    <row r="79" spans="17:74" x14ac:dyDescent="0.2">
      <c r="Q79" s="1386"/>
      <c r="R79" s="910" t="s">
        <v>102</v>
      </c>
      <c r="S79" s="910"/>
      <c r="T79" s="911">
        <v>6.3558792588156249E-2</v>
      </c>
      <c r="U79" s="912">
        <v>2.6779999999999999</v>
      </c>
      <c r="V79" s="911">
        <v>2.3733679084449684E-2</v>
      </c>
      <c r="W79" s="911">
        <v>35.347147301769205</v>
      </c>
      <c r="X79" s="913">
        <v>23.733679084449683</v>
      </c>
      <c r="Y79" s="924"/>
      <c r="Z79" s="924"/>
      <c r="AA79" s="903">
        <v>6.3558792588156249E-2</v>
      </c>
      <c r="AB79" s="903">
        <v>2.6779999999999999</v>
      </c>
      <c r="AC79" s="903">
        <v>2.3733679084449684E-2</v>
      </c>
      <c r="AD79" s="903">
        <v>35.347147301769205</v>
      </c>
      <c r="AE79" s="903">
        <v>23.733679084449683</v>
      </c>
      <c r="AF79" s="903">
        <v>30.856396222824159</v>
      </c>
      <c r="AG79" s="903">
        <v>9.8049209999999998E-2</v>
      </c>
      <c r="AH79" s="903">
        <v>9.3917639999999997E-2</v>
      </c>
      <c r="AI79" s="903">
        <v>9.465966047413793E-2</v>
      </c>
      <c r="AJ79" s="903"/>
      <c r="AK79" s="903">
        <v>37.040501843201397</v>
      </c>
      <c r="AL79" s="903">
        <v>30.898263275238499</v>
      </c>
      <c r="AM79" s="903">
        <v>5.6083848994093506</v>
      </c>
      <c r="AN79" s="903">
        <v>20.459114487250528</v>
      </c>
      <c r="AO79" s="903"/>
      <c r="AP79" s="903">
        <v>36.612849141150114</v>
      </c>
      <c r="AQ79" s="903">
        <v>35.070067214339055</v>
      </c>
      <c r="AR79" s="903">
        <v>35.347147301769205</v>
      </c>
      <c r="AU79" s="876"/>
      <c r="AV79" s="876"/>
      <c r="AW79" s="876"/>
      <c r="AX79" s="876"/>
      <c r="AY79" s="876"/>
      <c r="AZ79" s="876"/>
      <c r="BA79" s="876"/>
      <c r="BB79" s="876"/>
      <c r="BC79" s="876"/>
      <c r="BD79" s="876"/>
      <c r="BE79" s="926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</row>
    <row r="80" spans="17:74" x14ac:dyDescent="0.2">
      <c r="Q80" s="1386"/>
      <c r="R80" s="910" t="s">
        <v>106</v>
      </c>
      <c r="S80" s="910">
        <v>40969</v>
      </c>
      <c r="T80" s="911">
        <v>0.10627928962034604</v>
      </c>
      <c r="U80" s="912">
        <v>2.6680000000000001</v>
      </c>
      <c r="V80" s="911">
        <v>3.9834816199529999E-2</v>
      </c>
      <c r="W80" s="911">
        <v>34.62244852036347</v>
      </c>
      <c r="X80" s="913">
        <v>39.834816199529996</v>
      </c>
      <c r="Y80" s="924"/>
      <c r="Z80" s="924"/>
      <c r="AA80" s="903">
        <v>0.10627928962034604</v>
      </c>
      <c r="AB80" s="903">
        <v>2.6680000000000001</v>
      </c>
      <c r="AC80" s="903">
        <v>3.9834816199529999E-2</v>
      </c>
      <c r="AD80" s="903">
        <v>34.62244852036347</v>
      </c>
      <c r="AE80" s="903">
        <v>39.834816199529996</v>
      </c>
      <c r="AF80" s="903">
        <v>30.856396222824159</v>
      </c>
      <c r="AG80" s="903">
        <v>9.5741935483870957E-2</v>
      </c>
      <c r="AH80" s="903">
        <v>9.1732258064516126E-2</v>
      </c>
      <c r="AI80" s="903">
        <v>9.2372692652329752E-2</v>
      </c>
      <c r="AJ80" s="903"/>
      <c r="AK80" s="903">
        <v>60.043520416883148</v>
      </c>
      <c r="AL80" s="903">
        <v>52.338622723834419</v>
      </c>
      <c r="AM80" s="903">
        <v>9.9062546664771602</v>
      </c>
      <c r="AN80" s="903">
        <v>34.721770648334683</v>
      </c>
      <c r="AO80" s="903"/>
      <c r="AP80" s="903">
        <v>35.885283164869172</v>
      </c>
      <c r="AQ80" s="903">
        <v>34.382405571407844</v>
      </c>
      <c r="AR80" s="903">
        <v>34.622448520363477</v>
      </c>
      <c r="AU80" s="876"/>
      <c r="AV80" s="876"/>
      <c r="AW80" s="876"/>
      <c r="AX80" s="876"/>
      <c r="AY80" s="876"/>
      <c r="AZ80" s="876"/>
      <c r="BA80" s="876"/>
      <c r="BB80" s="876"/>
      <c r="BC80" s="876"/>
      <c r="BD80" s="876"/>
      <c r="BE80" s="926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</row>
    <row r="81" spans="17:74" x14ac:dyDescent="0.2">
      <c r="Q81" s="1386"/>
      <c r="R81" s="910" t="s">
        <v>107</v>
      </c>
      <c r="S81" s="910"/>
      <c r="T81" s="911">
        <v>7.0451557278960908E-2</v>
      </c>
      <c r="U81" s="912">
        <v>2.641</v>
      </c>
      <c r="V81" s="911">
        <v>2.667609135894014E-2</v>
      </c>
      <c r="W81" s="911">
        <v>34.910611409005227</v>
      </c>
      <c r="X81" s="913">
        <v>26.676091358940141</v>
      </c>
      <c r="Y81" s="924"/>
      <c r="Z81" s="924"/>
      <c r="AA81" s="903">
        <v>7.0451557278960908E-2</v>
      </c>
      <c r="AB81" s="903">
        <v>2.641</v>
      </c>
      <c r="AC81" s="903">
        <v>2.667609135894014E-2</v>
      </c>
      <c r="AD81" s="903">
        <v>34.910611409005227</v>
      </c>
      <c r="AE81" s="903">
        <v>26.676091358940141</v>
      </c>
      <c r="AF81" s="903">
        <v>30.856396222824159</v>
      </c>
      <c r="AG81" s="903">
        <v>9.5500000000000002E-2</v>
      </c>
      <c r="AH81" s="903">
        <v>9.1499999999999998E-2</v>
      </c>
      <c r="AI81" s="903">
        <v>9.219892473118281E-2</v>
      </c>
      <c r="AJ81" s="903"/>
      <c r="AK81" s="903">
        <v>43.174471744327533</v>
      </c>
      <c r="AL81" s="903">
        <v>31.239206741105992</v>
      </c>
      <c r="AM81" s="903">
        <v>10.956190328618518</v>
      </c>
      <c r="AN81" s="903">
        <v>23.055220564419734</v>
      </c>
      <c r="AO81" s="903"/>
      <c r="AP81" s="903">
        <v>36.16054524801212</v>
      </c>
      <c r="AQ81" s="903">
        <v>34.645967436577052</v>
      </c>
      <c r="AR81" s="903">
        <v>34.910611409005227</v>
      </c>
      <c r="AU81" s="876"/>
      <c r="AV81" s="876"/>
      <c r="AW81" s="876"/>
      <c r="AX81" s="876"/>
      <c r="AY81" s="876"/>
      <c r="AZ81" s="876"/>
      <c r="BA81" s="876"/>
      <c r="BB81" s="876"/>
      <c r="BC81" s="876"/>
      <c r="BD81" s="876"/>
      <c r="BE81" s="926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</row>
    <row r="82" spans="17:74" x14ac:dyDescent="0.2">
      <c r="Q82" s="1386"/>
      <c r="R82" s="910" t="s">
        <v>108</v>
      </c>
      <c r="S82" s="910">
        <v>41030</v>
      </c>
      <c r="T82" s="911">
        <v>7.3644598811286682E-2</v>
      </c>
      <c r="U82" s="912">
        <v>2.71</v>
      </c>
      <c r="V82" s="911">
        <v>2.7175128712651913E-2</v>
      </c>
      <c r="W82" s="911">
        <v>39.675067484285663</v>
      </c>
      <c r="X82" s="913">
        <v>27.175128712651912</v>
      </c>
      <c r="AA82" s="903">
        <v>7.3644598811286682E-2</v>
      </c>
      <c r="AB82" s="903">
        <v>2.71</v>
      </c>
      <c r="AC82" s="903">
        <v>2.7175128712651913E-2</v>
      </c>
      <c r="AD82" s="903">
        <v>39.675067484285663</v>
      </c>
      <c r="AE82" s="903">
        <v>27.175128712651912</v>
      </c>
      <c r="AF82" s="903">
        <v>30.856396222824159</v>
      </c>
      <c r="AG82" s="927">
        <v>0.11594516129032258</v>
      </c>
      <c r="AH82" s="903">
        <v>0.10573548387096773</v>
      </c>
      <c r="AI82" s="903">
        <v>0.10751943288241414</v>
      </c>
      <c r="AJ82" s="903"/>
      <c r="AK82" s="903">
        <v>43.676172580655368</v>
      </c>
      <c r="AL82" s="903">
        <v>28.903060515719716</v>
      </c>
      <c r="AM82" s="903">
        <v>14.903107513291895</v>
      </c>
      <c r="AN82" s="903">
        <v>23.113148671664117</v>
      </c>
      <c r="AO82" s="903"/>
      <c r="AP82" s="903">
        <v>42.784192358052614</v>
      </c>
      <c r="AQ82" s="903">
        <v>39.016783716224261</v>
      </c>
      <c r="AR82" s="903">
        <v>39.675067484285663</v>
      </c>
      <c r="AU82" s="876"/>
      <c r="AV82" s="876"/>
      <c r="AW82" s="876"/>
      <c r="AX82" s="876"/>
      <c r="AY82" s="876"/>
      <c r="AZ82" s="876"/>
      <c r="BA82" s="876"/>
      <c r="BB82" s="876"/>
      <c r="BC82" s="876"/>
      <c r="BD82" s="876"/>
      <c r="BE82" s="926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</row>
    <row r="83" spans="17:74" x14ac:dyDescent="0.2">
      <c r="Q83" s="1386"/>
      <c r="R83" s="910" t="s">
        <v>109</v>
      </c>
      <c r="S83" s="910"/>
      <c r="T83" s="903">
        <v>0.1215915931357178</v>
      </c>
      <c r="U83" s="903">
        <v>2.6709999999999998</v>
      </c>
      <c r="V83" s="903">
        <v>4.5522872757662973E-2</v>
      </c>
      <c r="W83" s="903">
        <v>40.198739548234123</v>
      </c>
      <c r="X83" s="903">
        <v>45.522872757662974</v>
      </c>
      <c r="AA83" s="903">
        <v>0.1215915931357178</v>
      </c>
      <c r="AB83" s="903">
        <v>2.6709999999999998</v>
      </c>
      <c r="AC83" s="903">
        <v>4.5522872757662973E-2</v>
      </c>
      <c r="AD83" s="903">
        <v>40.198739548234123</v>
      </c>
      <c r="AE83" s="903">
        <v>45.522872757662974</v>
      </c>
      <c r="AF83" s="903">
        <v>30.856396222824159</v>
      </c>
      <c r="AG83" s="903">
        <v>0.1158</v>
      </c>
      <c r="AH83" s="903">
        <v>0.1056</v>
      </c>
      <c r="AI83" s="903">
        <v>0.10737083333333333</v>
      </c>
      <c r="AJ83" s="903"/>
      <c r="AK83" s="903">
        <v>53.363800541653141</v>
      </c>
      <c r="AL83" s="903">
        <v>48.512356228021851</v>
      </c>
      <c r="AM83" s="903">
        <v>36.677156948638384</v>
      </c>
      <c r="AN83" s="903">
        <v>43.615815708845872</v>
      </c>
      <c r="AO83" s="903"/>
      <c r="AP83" s="903">
        <v>43.354548858105581</v>
      </c>
      <c r="AQ83" s="903">
        <v>39.535754399101457</v>
      </c>
      <c r="AR83" s="903">
        <v>40.198739548234123</v>
      </c>
      <c r="AU83" s="876"/>
      <c r="AV83" s="876"/>
      <c r="AW83" s="876"/>
      <c r="AX83" s="876"/>
      <c r="AY83" s="876"/>
      <c r="AZ83" s="876"/>
      <c r="BA83" s="876"/>
      <c r="BB83" s="876"/>
      <c r="BC83" s="876"/>
      <c r="BD83" s="876"/>
      <c r="BE83" s="926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</row>
    <row r="84" spans="17:74" x14ac:dyDescent="0.2">
      <c r="Q84" s="1386"/>
      <c r="R84" s="910" t="s">
        <v>110</v>
      </c>
      <c r="S84" s="910">
        <v>41091</v>
      </c>
      <c r="T84" s="903">
        <v>0.1526105768280836</v>
      </c>
      <c r="U84" s="903">
        <v>2.629</v>
      </c>
      <c r="V84" s="903">
        <v>5.8048907123652946E-2</v>
      </c>
      <c r="W84" s="903">
        <v>40.793138566117371</v>
      </c>
      <c r="X84" s="903">
        <v>58.048907123652945</v>
      </c>
      <c r="AA84" s="903">
        <v>0.1526105768280836</v>
      </c>
      <c r="AB84" s="903">
        <v>2.629</v>
      </c>
      <c r="AC84" s="903">
        <v>5.8048907123652946E-2</v>
      </c>
      <c r="AD84" s="903">
        <v>40.793138566117371</v>
      </c>
      <c r="AE84" s="903">
        <v>58.048907123652945</v>
      </c>
      <c r="AF84" s="903">
        <v>30.856396222824159</v>
      </c>
      <c r="AG84" s="903">
        <v>0.11579999999999999</v>
      </c>
      <c r="AH84" s="903">
        <v>0.10559999999999999</v>
      </c>
      <c r="AI84" s="903">
        <v>0.10724516129032258</v>
      </c>
      <c r="AJ84" s="903"/>
      <c r="AK84" s="903">
        <v>69.604027569728075</v>
      </c>
      <c r="AL84" s="903">
        <v>62.723428984591017</v>
      </c>
      <c r="AM84" s="903">
        <v>44.850775566520696</v>
      </c>
      <c r="AN84" s="903">
        <v>55.343125747345681</v>
      </c>
      <c r="AO84" s="903"/>
      <c r="AP84" s="903">
        <v>44.047166222898433</v>
      </c>
      <c r="AQ84" s="903">
        <v>40.167364016736393</v>
      </c>
      <c r="AR84" s="903">
        <v>40.793138566117378</v>
      </c>
      <c r="AU84" s="876"/>
      <c r="AV84" s="876"/>
      <c r="AW84" s="876"/>
      <c r="AX84" s="876"/>
      <c r="AY84" s="876"/>
      <c r="AZ84" s="876"/>
      <c r="BA84" s="876"/>
      <c r="BB84" s="876"/>
      <c r="BC84" s="876"/>
      <c r="BD84" s="876"/>
      <c r="BE84" s="926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</row>
    <row r="85" spans="17:74" x14ac:dyDescent="0.2">
      <c r="Q85" s="1386"/>
      <c r="R85" s="910" t="s">
        <v>111</v>
      </c>
      <c r="S85" s="910"/>
      <c r="T85" s="903">
        <v>9.1588064152848328E-2</v>
      </c>
      <c r="U85" s="903">
        <v>2.61</v>
      </c>
      <c r="V85" s="903">
        <v>3.509121231909898E-2</v>
      </c>
      <c r="W85" s="903">
        <v>41.142627610925715</v>
      </c>
      <c r="X85" s="903">
        <v>35.091212319098979</v>
      </c>
      <c r="AA85" s="903">
        <v>9.1588064152848328E-2</v>
      </c>
      <c r="AB85" s="903">
        <v>2.61</v>
      </c>
      <c r="AC85" s="903">
        <v>3.509121231909898E-2</v>
      </c>
      <c r="AD85" s="903">
        <v>41.142627610925715</v>
      </c>
      <c r="AE85" s="903">
        <v>35.091212319098979</v>
      </c>
      <c r="AF85" s="903">
        <v>30.856396222824159</v>
      </c>
      <c r="AG85" s="903">
        <v>0.11579999999999999</v>
      </c>
      <c r="AH85" s="903">
        <v>0.10559999999999999</v>
      </c>
      <c r="AI85" s="903">
        <v>0.10738225806451611</v>
      </c>
      <c r="AJ85" s="903"/>
      <c r="AK85" s="903">
        <v>39.483369514706368</v>
      </c>
      <c r="AL85" s="903">
        <v>36.292057267221914</v>
      </c>
      <c r="AM85" s="903">
        <v>30.823069910878026</v>
      </c>
      <c r="AN85" s="903">
        <v>34.022745213350369</v>
      </c>
      <c r="AO85" s="903"/>
      <c r="AP85" s="903">
        <v>44.367816091954019</v>
      </c>
      <c r="AQ85" s="903">
        <v>40.459770114942529</v>
      </c>
      <c r="AR85" s="903">
        <v>41.142627610925715</v>
      </c>
      <c r="AU85" s="876"/>
      <c r="AV85" s="876"/>
      <c r="AW85" s="876"/>
      <c r="AX85" s="876"/>
      <c r="AY85" s="876"/>
      <c r="AZ85" s="876"/>
      <c r="BA85" s="876"/>
      <c r="BB85" s="876"/>
      <c r="BC85" s="876"/>
      <c r="BD85" s="876"/>
      <c r="BE85" s="926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</row>
    <row r="86" spans="17:74" x14ac:dyDescent="0.2">
      <c r="Q86" s="1386"/>
      <c r="R86" s="910" t="s">
        <v>112</v>
      </c>
      <c r="S86" s="910">
        <v>41153</v>
      </c>
      <c r="T86" s="903">
        <v>9.4590595384023049E-2</v>
      </c>
      <c r="U86" s="903">
        <v>2.5979999999999999</v>
      </c>
      <c r="V86" s="903">
        <v>3.6409005151663995E-2</v>
      </c>
      <c r="W86" s="903">
        <v>41.35552989479087</v>
      </c>
      <c r="X86" s="903">
        <v>36.409005151663997</v>
      </c>
      <c r="AA86" s="903">
        <v>9.4590595384023049E-2</v>
      </c>
      <c r="AB86" s="903">
        <v>2.5979999999999999</v>
      </c>
      <c r="AC86" s="903">
        <v>3.6409005151663995E-2</v>
      </c>
      <c r="AD86" s="903">
        <v>41.35552989479087</v>
      </c>
      <c r="AE86" s="903">
        <v>36.409005151663997</v>
      </c>
      <c r="AF86" s="903">
        <v>30.856396222824159</v>
      </c>
      <c r="AG86" s="903">
        <v>0.11579999999999999</v>
      </c>
      <c r="AH86" s="903">
        <v>0.1056</v>
      </c>
      <c r="AI86" s="903">
        <v>0.10744166666666667</v>
      </c>
      <c r="AJ86" s="903"/>
      <c r="AK86" s="903">
        <v>43.576957173079251</v>
      </c>
      <c r="AL86" s="903">
        <v>39.299602411958219</v>
      </c>
      <c r="AM86" s="903">
        <v>28.153596743680378</v>
      </c>
      <c r="AN86" s="903">
        <v>34.677183706060802</v>
      </c>
      <c r="AO86" s="903"/>
      <c r="AP86" s="903">
        <v>44.572748267898376</v>
      </c>
      <c r="AQ86" s="903">
        <v>40.646651270207855</v>
      </c>
      <c r="AR86" s="903">
        <v>41.35552989479087</v>
      </c>
      <c r="AU86" s="876"/>
      <c r="AV86" s="876"/>
      <c r="AW86" s="876"/>
      <c r="AX86" s="876"/>
      <c r="AY86" s="876"/>
      <c r="AZ86" s="876"/>
      <c r="BA86" s="876"/>
      <c r="BB86" s="876"/>
      <c r="BC86" s="876"/>
      <c r="BD86" s="876"/>
      <c r="BE86" s="926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</row>
    <row r="87" spans="17:74" x14ac:dyDescent="0.2">
      <c r="Q87" s="1386"/>
      <c r="R87" s="910" t="s">
        <v>113</v>
      </c>
      <c r="S87" s="910"/>
      <c r="T87" s="903">
        <v>7.4548654647125012E-2</v>
      </c>
      <c r="U87" s="903">
        <v>2.5920000000000001</v>
      </c>
      <c r="V87" s="903">
        <v>2.8761055033613044E-2</v>
      </c>
      <c r="W87" s="903">
        <v>41.451260288065839</v>
      </c>
      <c r="X87" s="903">
        <v>28.761055033613044</v>
      </c>
      <c r="AA87" s="903">
        <v>7.4548654647125012E-2</v>
      </c>
      <c r="AB87" s="903">
        <v>2.5920000000000001</v>
      </c>
      <c r="AC87" s="903">
        <v>2.8761055033613044E-2</v>
      </c>
      <c r="AD87" s="903">
        <v>41.428340302668254</v>
      </c>
      <c r="AE87" s="903">
        <v>28.761055033613044</v>
      </c>
      <c r="AF87" s="903">
        <v>30.856396222824159</v>
      </c>
      <c r="AG87" s="903">
        <v>0.11579999999999999</v>
      </c>
      <c r="AH87" s="903">
        <v>0.10559999999999999</v>
      </c>
      <c r="AI87" s="903">
        <v>0.10738225806451611</v>
      </c>
      <c r="AJ87" s="903"/>
      <c r="AK87" s="903">
        <v>39.380167084261636</v>
      </c>
      <c r="AL87" s="903">
        <v>31.970177626095371</v>
      </c>
      <c r="AM87" s="903">
        <v>17.97085950167973</v>
      </c>
      <c r="AN87" s="903">
        <v>26.161429952164834</v>
      </c>
      <c r="AO87" s="903"/>
      <c r="AP87" s="903">
        <v>44.675925925925917</v>
      </c>
      <c r="AQ87" s="903">
        <v>40.74074074074074</v>
      </c>
      <c r="AR87" s="903">
        <v>41.428340302668254</v>
      </c>
      <c r="AU87" s="876"/>
      <c r="AV87" s="876"/>
      <c r="AW87" s="876"/>
      <c r="AX87" s="876"/>
      <c r="AY87" s="876"/>
      <c r="AZ87" s="876"/>
      <c r="BA87" s="876"/>
      <c r="BB87" s="876"/>
      <c r="BC87" s="876"/>
      <c r="BD87" s="876"/>
      <c r="BE87" s="926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</row>
    <row r="88" spans="17:74" x14ac:dyDescent="0.2">
      <c r="Q88" s="1386"/>
      <c r="R88" s="910" t="s">
        <v>114</v>
      </c>
      <c r="S88" s="910">
        <v>41214</v>
      </c>
      <c r="T88" s="903">
        <v>3.7008972441541797E-2</v>
      </c>
      <c r="U88" s="903">
        <v>2.5790000000000002</v>
      </c>
      <c r="V88" s="903">
        <v>1.4350125025801394E-2</v>
      </c>
      <c r="W88" s="903">
        <v>41.493149799663954</v>
      </c>
      <c r="X88" s="903">
        <v>14.350125025801393</v>
      </c>
      <c r="AA88" s="903">
        <v>3.7008972441541797E-2</v>
      </c>
      <c r="AB88" s="903">
        <v>2.5790000000000002</v>
      </c>
      <c r="AC88" s="903">
        <v>1.4350125025801394E-2</v>
      </c>
      <c r="AD88" s="903">
        <v>41.493149799663954</v>
      </c>
      <c r="AE88" s="903">
        <v>14.350125025801393</v>
      </c>
      <c r="AF88" s="903">
        <v>30.856396222824159</v>
      </c>
      <c r="AG88" s="903">
        <v>0.11543999999999999</v>
      </c>
      <c r="AH88" s="903">
        <v>0.10524000000000001</v>
      </c>
      <c r="AI88" s="903">
        <v>0.10701083333333333</v>
      </c>
      <c r="AJ88" s="903"/>
      <c r="AK88" s="903">
        <v>21.583623188755844</v>
      </c>
      <c r="AL88" s="903">
        <v>14.464385644033722</v>
      </c>
      <c r="AM88" s="903">
        <v>9.9715550035029299</v>
      </c>
      <c r="AN88" s="903">
        <v>12.599756894071692</v>
      </c>
      <c r="AO88" s="903"/>
      <c r="AP88" s="903">
        <v>44.761535478867771</v>
      </c>
      <c r="AQ88" s="903">
        <v>40.806514152772394</v>
      </c>
      <c r="AR88" s="903">
        <v>41.493149799663946</v>
      </c>
      <c r="AU88" s="876"/>
      <c r="AV88" s="876"/>
      <c r="AW88" s="876"/>
      <c r="AX88" s="876"/>
      <c r="AY88" s="876"/>
      <c r="AZ88" s="876"/>
      <c r="BA88" s="876"/>
      <c r="BB88" s="876"/>
      <c r="BC88" s="876"/>
      <c r="BD88" s="876"/>
      <c r="BE88" s="926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</row>
    <row r="89" spans="17:74" ht="13.5" thickBot="1" x14ac:dyDescent="0.25">
      <c r="Q89" s="1387"/>
      <c r="R89" s="1114" t="s">
        <v>115</v>
      </c>
      <c r="S89" s="1114"/>
      <c r="T89" s="1119">
        <v>3.507716472062293E-2</v>
      </c>
      <c r="U89" s="1119">
        <v>2.5510000000000002</v>
      </c>
      <c r="V89" s="1119">
        <v>1.3750358573352774E-2</v>
      </c>
      <c r="W89" s="1119">
        <v>41.883638294912814</v>
      </c>
      <c r="X89" s="1119">
        <v>13.750358573352774</v>
      </c>
      <c r="Y89" s="1120"/>
      <c r="Z89" s="1120"/>
      <c r="AA89" s="1119">
        <v>3.507716472062293E-2</v>
      </c>
      <c r="AB89" s="1119">
        <v>2.5510000000000002</v>
      </c>
      <c r="AC89" s="1119">
        <v>1.3750358573352774E-2</v>
      </c>
      <c r="AD89" s="1119">
        <v>41.883638294912814</v>
      </c>
      <c r="AE89" s="1119">
        <v>13.750358573352774</v>
      </c>
      <c r="AF89" s="1119">
        <v>30.856396222824159</v>
      </c>
      <c r="AG89" s="1119">
        <v>0.11539999999999999</v>
      </c>
      <c r="AH89" s="1119">
        <v>0.1052</v>
      </c>
      <c r="AI89" s="1119">
        <v>0.10684516129032259</v>
      </c>
      <c r="AJ89" s="1119"/>
      <c r="AK89" s="1119">
        <v>29.413774087853142</v>
      </c>
      <c r="AL89" s="1119">
        <v>13.842658919669692</v>
      </c>
      <c r="AM89" s="1119">
        <v>5.1261424630103409</v>
      </c>
      <c r="AN89" s="1119">
        <v>10.269071180392963</v>
      </c>
      <c r="AO89" s="1119"/>
      <c r="AP89" s="1119">
        <v>45.237161897295174</v>
      </c>
      <c r="AQ89" s="1119">
        <v>41.238729909839272</v>
      </c>
      <c r="AR89" s="1119">
        <v>41.883638294912814</v>
      </c>
      <c r="AU89" s="876"/>
      <c r="AV89" s="876"/>
      <c r="AW89" s="876"/>
      <c r="AX89" s="876"/>
      <c r="AY89" s="876"/>
      <c r="AZ89" s="876"/>
      <c r="BA89" s="876"/>
      <c r="BB89" s="876"/>
      <c r="BC89" s="876"/>
      <c r="BD89" s="876"/>
      <c r="BE89" s="926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</row>
    <row r="90" spans="17:74" ht="13.5" thickTop="1" x14ac:dyDescent="0.2">
      <c r="Q90" s="1386">
        <v>2013</v>
      </c>
      <c r="R90" s="910" t="s">
        <v>97</v>
      </c>
      <c r="S90" s="910">
        <v>41275</v>
      </c>
      <c r="T90" s="911">
        <v>4.9880248244637146E-2</v>
      </c>
      <c r="U90" s="912">
        <v>2.5779999999999998</v>
      </c>
      <c r="V90" s="911">
        <v>1.9348428333839079E-2</v>
      </c>
      <c r="W90" s="911">
        <v>41.471570860131642</v>
      </c>
      <c r="X90" s="913">
        <v>19.348428333839077</v>
      </c>
      <c r="AA90" s="903">
        <v>4.9880248244637146E-2</v>
      </c>
      <c r="AB90" s="903">
        <v>2.5779999999999998</v>
      </c>
      <c r="AC90" s="903">
        <v>1.9348428333839079E-2</v>
      </c>
      <c r="AD90" s="903">
        <v>41.471570860131642</v>
      </c>
      <c r="AE90" s="903">
        <v>19.348428333839077</v>
      </c>
      <c r="AF90" s="903">
        <v>26.517341304477466</v>
      </c>
      <c r="AG90" s="903">
        <v>0.11539999999999999</v>
      </c>
      <c r="AH90" s="903">
        <v>0.1052</v>
      </c>
      <c r="AI90" s="903">
        <v>0.10691370967741937</v>
      </c>
      <c r="AJ90" s="903"/>
      <c r="AK90" s="903">
        <v>36.520188492547064</v>
      </c>
      <c r="AL90" s="903">
        <v>21.266647295765821</v>
      </c>
      <c r="AM90" s="903">
        <v>6.5784090712962175</v>
      </c>
      <c r="AN90" s="903">
        <v>15.213325656432884</v>
      </c>
      <c r="AO90" s="903"/>
      <c r="AP90" s="903">
        <v>44.763382467028705</v>
      </c>
      <c r="AQ90" s="903">
        <v>40.806826997672616</v>
      </c>
      <c r="AR90" s="903">
        <v>41.471570860131642</v>
      </c>
      <c r="AU90" s="876"/>
      <c r="AV90" s="876"/>
      <c r="AW90" s="876"/>
      <c r="AX90" s="876"/>
      <c r="AY90" s="876"/>
      <c r="AZ90" s="876"/>
      <c r="BA90" s="876"/>
      <c r="BB90" s="876"/>
      <c r="BC90" s="876"/>
      <c r="BD90" s="876"/>
      <c r="BE90" s="926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</row>
    <row r="91" spans="17:74" x14ac:dyDescent="0.2">
      <c r="Q91" s="1386"/>
      <c r="R91" s="910" t="s">
        <v>102</v>
      </c>
      <c r="S91" s="910"/>
      <c r="T91" s="911">
        <v>8.1245795214123742E-2</v>
      </c>
      <c r="U91" s="912">
        <v>2.5870000000000002</v>
      </c>
      <c r="V91" s="911">
        <v>3.1405409823781885E-2</v>
      </c>
      <c r="W91" s="911">
        <v>41.679551604174712</v>
      </c>
      <c r="X91" s="913">
        <v>31.405409823781884</v>
      </c>
      <c r="AA91" s="903">
        <v>8.1245795214123742E-2</v>
      </c>
      <c r="AB91" s="903">
        <v>2.5870000000000002</v>
      </c>
      <c r="AC91" s="903">
        <v>3.1405409823781885E-2</v>
      </c>
      <c r="AD91" s="903">
        <v>41.679551604174712</v>
      </c>
      <c r="AE91" s="903">
        <v>31.405409823781884</v>
      </c>
      <c r="AF91" s="903">
        <v>26.517341304477466</v>
      </c>
      <c r="AG91" s="903">
        <v>0.11620357142857143</v>
      </c>
      <c r="AH91" s="903">
        <v>0.10600357142857142</v>
      </c>
      <c r="AI91" s="903">
        <v>0.10782499999999999</v>
      </c>
      <c r="AJ91" s="903"/>
      <c r="AK91" s="903">
        <v>51.383316361658288</v>
      </c>
      <c r="AL91" s="903">
        <v>38.98728867855624</v>
      </c>
      <c r="AM91" s="903">
        <v>8.7709161929322086</v>
      </c>
      <c r="AN91" s="903">
        <v>26.53034425592762</v>
      </c>
      <c r="AO91" s="903"/>
      <c r="AP91" s="903">
        <v>44.918272682091775</v>
      </c>
      <c r="AQ91" s="903">
        <v>40.975481804627528</v>
      </c>
      <c r="AR91" s="903">
        <v>41.679551604174712</v>
      </c>
      <c r="AU91" s="876"/>
      <c r="AV91" s="876"/>
      <c r="AW91" s="876"/>
      <c r="AX91" s="876"/>
      <c r="AY91" s="876"/>
      <c r="AZ91" s="876"/>
      <c r="BA91" s="876"/>
      <c r="BB91" s="876"/>
      <c r="BC91" s="876"/>
      <c r="BD91" s="876"/>
      <c r="BE91" s="926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</row>
    <row r="92" spans="17:74" x14ac:dyDescent="0.2">
      <c r="Q92" s="1386"/>
      <c r="R92" s="910" t="s">
        <v>106</v>
      </c>
      <c r="S92" s="910">
        <v>41334</v>
      </c>
      <c r="T92" s="911">
        <v>5.1048992386072113E-2</v>
      </c>
      <c r="U92" s="912">
        <v>2.589</v>
      </c>
      <c r="V92" s="911">
        <v>1.9717648662059526E-2</v>
      </c>
      <c r="W92" s="911">
        <v>41.695946872001898</v>
      </c>
      <c r="X92" s="913">
        <v>19.717648662059528</v>
      </c>
      <c r="AA92" s="903">
        <v>5.1048992386072113E-2</v>
      </c>
      <c r="AB92" s="903">
        <v>2.589</v>
      </c>
      <c r="AC92" s="903">
        <v>1.9717648662059526E-2</v>
      </c>
      <c r="AD92" s="903">
        <v>41.695946872001898</v>
      </c>
      <c r="AE92" s="903">
        <v>19.717648662059528</v>
      </c>
      <c r="AF92" s="903">
        <v>26.517341304477466</v>
      </c>
      <c r="AG92" s="903">
        <v>0.1163</v>
      </c>
      <c r="AH92" s="903">
        <v>0.1061</v>
      </c>
      <c r="AI92" s="903">
        <v>0.10795080645161291</v>
      </c>
      <c r="AJ92" s="903"/>
      <c r="AK92" s="903">
        <v>44.375083716143742</v>
      </c>
      <c r="AL92" s="903">
        <v>20.693671240926154</v>
      </c>
      <c r="AM92" s="903">
        <v>4.8688659274620205</v>
      </c>
      <c r="AN92" s="903">
        <v>14.265587724466718</v>
      </c>
      <c r="AO92" s="903"/>
      <c r="AP92" s="903">
        <v>44.920818848976438</v>
      </c>
      <c r="AQ92" s="903">
        <v>40.981073773657783</v>
      </c>
      <c r="AR92" s="903">
        <v>41.695946872001898</v>
      </c>
      <c r="AU92" s="876"/>
      <c r="AV92" s="876"/>
      <c r="AW92" s="876"/>
      <c r="AX92" s="876"/>
      <c r="AY92" s="876"/>
      <c r="AZ92" s="876"/>
      <c r="BA92" s="876"/>
      <c r="BB92" s="876"/>
      <c r="BC92" s="876"/>
      <c r="BD92" s="876"/>
      <c r="BE92" s="926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</row>
    <row r="93" spans="17:74" x14ac:dyDescent="0.2">
      <c r="Q93" s="1386"/>
      <c r="R93" s="910" t="s">
        <v>107</v>
      </c>
      <c r="S93" s="910"/>
      <c r="T93" s="911">
        <v>4.9701179379537851E-2</v>
      </c>
      <c r="U93" s="912">
        <v>2.6459999999999999</v>
      </c>
      <c r="V93" s="911">
        <v>1.8783514504738419E-2</v>
      </c>
      <c r="W93" s="911">
        <v>40.713970773494587</v>
      </c>
      <c r="X93" s="913">
        <v>18.78351450473842</v>
      </c>
      <c r="AA93" s="903">
        <v>4.9701179379537851E-2</v>
      </c>
      <c r="AB93" s="903">
        <v>2.6459999999999999</v>
      </c>
      <c r="AC93" s="903">
        <v>1.8783514504738419E-2</v>
      </c>
      <c r="AD93" s="903">
        <v>40.713970773494587</v>
      </c>
      <c r="AE93" s="903">
        <v>18.78351450473842</v>
      </c>
      <c r="AF93" s="903">
        <v>26.517341304477466</v>
      </c>
      <c r="AG93" s="903">
        <v>0.11630000000000001</v>
      </c>
      <c r="AH93" s="903">
        <v>0.1061</v>
      </c>
      <c r="AI93" s="903">
        <v>0.10772916666666667</v>
      </c>
      <c r="AJ93" s="903"/>
      <c r="AK93" s="903">
        <v>44.749732731296774</v>
      </c>
      <c r="AL93" s="903">
        <v>16.233473181863552</v>
      </c>
      <c r="AM93" s="903">
        <v>6.552571319605982</v>
      </c>
      <c r="AN93" s="903">
        <v>12.206291325421819</v>
      </c>
      <c r="AO93" s="903"/>
      <c r="AP93" s="903">
        <v>43.953136810279673</v>
      </c>
      <c r="AQ93" s="903">
        <v>40.098261526832957</v>
      </c>
      <c r="AR93" s="903">
        <v>40.71397077349458</v>
      </c>
      <c r="AU93" s="876"/>
      <c r="AV93" s="876"/>
      <c r="AW93" s="876"/>
      <c r="AX93" s="876"/>
      <c r="AY93" s="876"/>
      <c r="AZ93" s="876"/>
      <c r="BA93" s="876"/>
      <c r="BB93" s="876"/>
      <c r="BC93" s="876"/>
      <c r="BD93" s="876"/>
      <c r="BE93" s="926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</row>
    <row r="94" spans="17:74" x14ac:dyDescent="0.2">
      <c r="Q94" s="1386"/>
      <c r="R94" s="910" t="s">
        <v>108</v>
      </c>
      <c r="S94" s="910">
        <v>41395</v>
      </c>
      <c r="T94" s="911">
        <v>7.4208134165639553E-2</v>
      </c>
      <c r="U94" s="912">
        <v>2.734</v>
      </c>
      <c r="V94" s="911">
        <v>2.7142697207622368E-2</v>
      </c>
      <c r="W94" s="911">
        <v>39.129913239099814</v>
      </c>
      <c r="X94" s="913">
        <v>27.142697207622369</v>
      </c>
      <c r="AA94" s="903">
        <v>7.4208134165639553E-2</v>
      </c>
      <c r="AB94" s="903">
        <v>2.734</v>
      </c>
      <c r="AC94" s="903">
        <v>2.7142697207622368E-2</v>
      </c>
      <c r="AD94" s="903">
        <v>39.129913239099814</v>
      </c>
      <c r="AE94" s="903">
        <v>27.142697207622369</v>
      </c>
      <c r="AF94" s="903">
        <v>26.517341304477466</v>
      </c>
      <c r="AG94" s="903">
        <v>0.11869999999999997</v>
      </c>
      <c r="AH94" s="903">
        <v>0.10449999999999998</v>
      </c>
      <c r="AI94" s="903">
        <v>0.1069811827956989</v>
      </c>
      <c r="AJ94" s="903"/>
      <c r="AK94" s="903">
        <v>47.418669153321389</v>
      </c>
      <c r="AL94" s="903">
        <v>27.425886233286882</v>
      </c>
      <c r="AM94" s="903">
        <v>14.847197402693558</v>
      </c>
      <c r="AN94" s="903">
        <v>22.186623376668464</v>
      </c>
      <c r="AO94" s="903"/>
      <c r="AP94" s="903">
        <v>43.416239941477677</v>
      </c>
      <c r="AQ94" s="903">
        <v>38.222384784198965</v>
      </c>
      <c r="AR94" s="903">
        <v>39.129913239099821</v>
      </c>
      <c r="BE94" s="926"/>
    </row>
    <row r="95" spans="17:74" x14ac:dyDescent="0.2">
      <c r="Q95" s="1386"/>
      <c r="R95" s="910" t="s">
        <v>109</v>
      </c>
      <c r="S95" s="910"/>
      <c r="T95" s="903">
        <v>7.4055154412782445E-2</v>
      </c>
      <c r="U95" s="903">
        <v>2.7829999999999999</v>
      </c>
      <c r="V95" s="903">
        <v>2.6609829109875117E-2</v>
      </c>
      <c r="W95" s="903">
        <v>40.168932407074692</v>
      </c>
      <c r="X95" s="903">
        <v>26.609829109875118</v>
      </c>
      <c r="AA95" s="903">
        <v>7.4055154412782445E-2</v>
      </c>
      <c r="AB95" s="903">
        <v>2.7829999999999999</v>
      </c>
      <c r="AC95" s="903">
        <v>2.6609829109875117E-2</v>
      </c>
      <c r="AD95" s="903">
        <v>40.168932407074692</v>
      </c>
      <c r="AE95" s="903">
        <v>26.609829109875118</v>
      </c>
      <c r="AF95" s="903">
        <v>26.517341304477466</v>
      </c>
      <c r="AG95" s="903">
        <v>0.12806999999999996</v>
      </c>
      <c r="AH95" s="903">
        <v>0.10836999999999999</v>
      </c>
      <c r="AI95" s="903">
        <v>0.11179013888888886</v>
      </c>
      <c r="AJ95" s="903"/>
      <c r="AK95" s="903">
        <v>38.109791772246581</v>
      </c>
      <c r="AL95" s="903">
        <v>30.195522006850396</v>
      </c>
      <c r="AM95" s="903">
        <v>15.159735176417907</v>
      </c>
      <c r="AN95" s="903">
        <v>23.958746601970201</v>
      </c>
      <c r="AO95" s="903"/>
      <c r="AP95" s="903">
        <v>46.018684872439799</v>
      </c>
      <c r="AQ95" s="903">
        <v>38.939992813510599</v>
      </c>
      <c r="AR95" s="903">
        <v>40.168932407074692</v>
      </c>
      <c r="BE95" s="926"/>
    </row>
    <row r="96" spans="17:74" x14ac:dyDescent="0.2">
      <c r="Q96" s="1386"/>
      <c r="R96" s="910" t="s">
        <v>110</v>
      </c>
      <c r="S96" s="910">
        <v>41456</v>
      </c>
      <c r="T96" s="903">
        <v>0.12534090996277095</v>
      </c>
      <c r="U96" s="903">
        <v>2.794</v>
      </c>
      <c r="V96" s="903">
        <v>4.4860740859975282E-2</v>
      </c>
      <c r="W96" s="903">
        <v>40.119380238760485</v>
      </c>
      <c r="X96" s="903">
        <v>44.86074085997528</v>
      </c>
      <c r="AA96" s="903">
        <v>0.12534090996277095</v>
      </c>
      <c r="AB96" s="903">
        <v>2.794</v>
      </c>
      <c r="AC96" s="903">
        <v>4.4860740859975282E-2</v>
      </c>
      <c r="AD96" s="903">
        <v>40.119380238760485</v>
      </c>
      <c r="AE96" s="903">
        <v>44.86074085997528</v>
      </c>
      <c r="AF96" s="903">
        <v>26.517341304477466</v>
      </c>
      <c r="AG96" s="903">
        <v>0.12869999999999998</v>
      </c>
      <c r="AH96" s="903">
        <v>0.10890000000000002</v>
      </c>
      <c r="AI96" s="903">
        <v>0.11209354838709679</v>
      </c>
      <c r="AJ96" s="903"/>
      <c r="AK96" s="903">
        <v>67.672891267075826</v>
      </c>
      <c r="AL96" s="903">
        <v>49.411962407562953</v>
      </c>
      <c r="AM96" s="903">
        <v>25.238974225760437</v>
      </c>
      <c r="AN96" s="903">
        <v>39.315196513387413</v>
      </c>
      <c r="AO96" s="903"/>
      <c r="AP96" s="903">
        <v>46.062992125984245</v>
      </c>
      <c r="AQ96" s="903">
        <v>38.976377952755918</v>
      </c>
      <c r="AR96" s="903">
        <v>40.119380238760478</v>
      </c>
      <c r="BE96" s="926"/>
    </row>
    <row r="97" spans="17:57" x14ac:dyDescent="0.2">
      <c r="Q97" s="1386"/>
      <c r="R97" s="910" t="s">
        <v>111</v>
      </c>
      <c r="S97" s="910"/>
      <c r="T97" s="903">
        <v>9.7514936620461443E-2</v>
      </c>
      <c r="U97" s="903">
        <v>2.8079999999999998</v>
      </c>
      <c r="V97" s="903">
        <v>3.4727541531503363E-2</v>
      </c>
      <c r="W97" s="903">
        <v>40.014130135097886</v>
      </c>
      <c r="X97" s="903">
        <v>34.727541531503363</v>
      </c>
      <c r="AA97" s="903">
        <v>9.7514936620461443E-2</v>
      </c>
      <c r="AB97" s="903">
        <v>2.8079999999999998</v>
      </c>
      <c r="AC97" s="903">
        <v>3.4727541531503363E-2</v>
      </c>
      <c r="AD97" s="903">
        <v>40.014130135097886</v>
      </c>
      <c r="AE97" s="903">
        <v>34.727541531503363</v>
      </c>
      <c r="AF97" s="903">
        <v>26.517341304477466</v>
      </c>
      <c r="AG97" s="903">
        <v>0.12869999999999998</v>
      </c>
      <c r="AH97" s="903">
        <v>0.10890000000000002</v>
      </c>
      <c r="AI97" s="903">
        <v>0.11235967741935486</v>
      </c>
      <c r="AJ97" s="903"/>
      <c r="AK97" s="903">
        <v>48.707206270550003</v>
      </c>
      <c r="AL97" s="903">
        <v>39.398842278743508</v>
      </c>
      <c r="AM97" s="903">
        <v>20.102435938326437</v>
      </c>
      <c r="AN97" s="903">
        <v>31.353062871637299</v>
      </c>
      <c r="AO97" s="903"/>
      <c r="AP97" s="903">
        <v>45.833333333333329</v>
      </c>
      <c r="AQ97" s="903">
        <v>38.782051282051292</v>
      </c>
      <c r="AR97" s="903">
        <v>40.014130135097886</v>
      </c>
      <c r="BE97" s="926"/>
    </row>
    <row r="98" spans="17:57" x14ac:dyDescent="0.2">
      <c r="Q98" s="1386"/>
      <c r="R98" s="910" t="s">
        <v>112</v>
      </c>
      <c r="S98" s="910">
        <v>41518</v>
      </c>
      <c r="T98" s="903">
        <v>7.8640588622248001E-2</v>
      </c>
      <c r="U98" s="903">
        <v>2.782</v>
      </c>
      <c r="V98" s="903">
        <v>2.8267645083482385E-2</v>
      </c>
      <c r="W98" s="903">
        <v>40.429547088425593</v>
      </c>
      <c r="X98" s="903">
        <v>28.267645083482385</v>
      </c>
      <c r="AA98" s="903">
        <v>7.8640588622248001E-2</v>
      </c>
      <c r="AB98" s="903">
        <v>2.782</v>
      </c>
      <c r="AC98" s="903">
        <v>2.8267645083482385E-2</v>
      </c>
      <c r="AD98" s="903">
        <v>40.429547088425593</v>
      </c>
      <c r="AE98" s="903">
        <v>28.267645083482385</v>
      </c>
      <c r="AF98" s="903">
        <v>26.517341304477466</v>
      </c>
      <c r="AG98" s="903">
        <v>0.12869999999999998</v>
      </c>
      <c r="AH98" s="903">
        <v>0.1089</v>
      </c>
      <c r="AI98" s="903">
        <v>0.11247499999999999</v>
      </c>
      <c r="AJ98" s="903"/>
      <c r="AK98" s="903">
        <v>38.232188514367813</v>
      </c>
      <c r="AL98" s="903">
        <v>33.405798289011649</v>
      </c>
      <c r="AM98" s="903">
        <v>15.258062997777847</v>
      </c>
      <c r="AN98" s="903">
        <v>25.851329194603057</v>
      </c>
      <c r="AO98" s="903"/>
      <c r="AP98" s="903">
        <v>46.261682242990645</v>
      </c>
      <c r="AQ98" s="903">
        <v>39.14450035945363</v>
      </c>
      <c r="AR98" s="903">
        <v>40.429547088425586</v>
      </c>
      <c r="BE98" s="926"/>
    </row>
    <row r="99" spans="17:57" x14ac:dyDescent="0.2">
      <c r="Q99" s="1386"/>
      <c r="R99" s="910" t="s">
        <v>113</v>
      </c>
      <c r="S99" s="910"/>
      <c r="T99" s="903">
        <v>5.3865455704331308E-2</v>
      </c>
      <c r="U99" s="903">
        <v>2.77</v>
      </c>
      <c r="V99" s="903">
        <v>1.9446012889650293E-2</v>
      </c>
      <c r="W99" s="903">
        <v>40.56306044020031</v>
      </c>
      <c r="X99" s="903">
        <v>19.446012889650294</v>
      </c>
      <c r="AA99" s="903">
        <v>5.3865455704331308E-2</v>
      </c>
      <c r="AB99" s="903">
        <v>2.77</v>
      </c>
      <c r="AC99" s="903">
        <v>1.9446012889650293E-2</v>
      </c>
      <c r="AD99" s="903">
        <v>40.56306044020031</v>
      </c>
      <c r="AE99" s="903">
        <v>19.446012889650294</v>
      </c>
      <c r="AF99" s="903">
        <v>26.517341304477466</v>
      </c>
      <c r="AG99" s="903">
        <v>0.12869999999999998</v>
      </c>
      <c r="AH99" s="903">
        <v>0.10890000000000002</v>
      </c>
      <c r="AI99" s="903">
        <v>0.11235967741935486</v>
      </c>
      <c r="AJ99" s="903"/>
      <c r="AK99" s="903">
        <v>25.83921073944904</v>
      </c>
      <c r="AL99" s="903">
        <v>22.487161177147897</v>
      </c>
      <c r="AM99" s="903">
        <v>11.450883284180694</v>
      </c>
      <c r="AN99" s="903">
        <v>17.894903646547924</v>
      </c>
      <c r="AO99" s="903"/>
      <c r="AP99" s="903">
        <v>46.462093862815877</v>
      </c>
      <c r="AQ99" s="903">
        <v>39.314079422382676</v>
      </c>
      <c r="AR99" s="903">
        <v>40.56306044020031</v>
      </c>
      <c r="BE99" s="926"/>
    </row>
    <row r="100" spans="17:57" x14ac:dyDescent="0.2">
      <c r="Q100" s="1386"/>
      <c r="R100" s="910" t="s">
        <v>114</v>
      </c>
      <c r="S100" s="910">
        <v>41579</v>
      </c>
      <c r="T100" s="903">
        <v>6.4449074616378554E-2</v>
      </c>
      <c r="U100" s="903">
        <v>2.8</v>
      </c>
      <c r="V100" s="903">
        <v>2.3017526648706627E-2</v>
      </c>
      <c r="W100" s="903">
        <v>38.218154761904763</v>
      </c>
      <c r="X100" s="903">
        <v>23.017526648706628</v>
      </c>
      <c r="AA100" s="903">
        <v>6.4449074616378554E-2</v>
      </c>
      <c r="AB100" s="903">
        <v>2.8</v>
      </c>
      <c r="AC100" s="903">
        <v>2.3017526648706627E-2</v>
      </c>
      <c r="AD100" s="903">
        <v>38.190875565072567</v>
      </c>
      <c r="AE100" s="903">
        <v>23.001097293496986</v>
      </c>
      <c r="AF100" s="903">
        <v>26.517341304477466</v>
      </c>
      <c r="AG100" s="903">
        <v>0.12869999999999998</v>
      </c>
      <c r="AH100" s="903">
        <v>0.10890000000000002</v>
      </c>
      <c r="AI100" s="903">
        <v>0.10701083333333333</v>
      </c>
      <c r="AJ100" s="903"/>
      <c r="AK100" s="903">
        <v>33.219444816555516</v>
      </c>
      <c r="AL100" s="903">
        <v>24.370971221099964</v>
      </c>
      <c r="AM100" s="903">
        <v>15.174135549221383</v>
      </c>
      <c r="AN100" s="903">
        <v>20.534042817419721</v>
      </c>
      <c r="AO100" s="903"/>
      <c r="AP100" s="903">
        <v>41.199143468950744</v>
      </c>
      <c r="AQ100" s="903">
        <v>37.558886509635975</v>
      </c>
      <c r="AR100" s="903">
        <v>38.190875565072567</v>
      </c>
      <c r="BE100" s="926"/>
    </row>
    <row r="101" spans="17:57" ht="13.5" thickBot="1" x14ac:dyDescent="0.25">
      <c r="Q101" s="1387"/>
      <c r="R101" s="1114" t="s">
        <v>115</v>
      </c>
      <c r="S101" s="1114"/>
      <c r="T101" s="1119">
        <v>6.9613494868958778E-2</v>
      </c>
      <c r="U101" s="1119">
        <v>2.7959999999999998</v>
      </c>
      <c r="V101" s="1119">
        <v>2.4897530353704858E-2</v>
      </c>
      <c r="W101" s="1119">
        <v>38.213576999400068</v>
      </c>
      <c r="X101" s="1119">
        <v>24.897530353704859</v>
      </c>
      <c r="Y101" s="1120"/>
      <c r="Z101" s="1120"/>
      <c r="AA101" s="1119">
        <v>6.9613494868958778E-2</v>
      </c>
      <c r="AB101" s="1119">
        <v>2.7959999999999998</v>
      </c>
      <c r="AC101" s="1119">
        <v>2.4897530353704858E-2</v>
      </c>
      <c r="AD101" s="1119">
        <v>38.213576999400068</v>
      </c>
      <c r="AE101" s="1119">
        <v>24.897530353704859</v>
      </c>
      <c r="AF101" s="1119">
        <v>26.517341304477466</v>
      </c>
      <c r="AG101" s="1119">
        <v>0.12869999999999998</v>
      </c>
      <c r="AH101" s="1119">
        <v>0.10890000000000002</v>
      </c>
      <c r="AI101" s="1119">
        <v>0.10684516129032259</v>
      </c>
      <c r="AJ101" s="1119"/>
      <c r="AK101" s="1119">
        <v>41.77208788584074</v>
      </c>
      <c r="AL101" s="1119">
        <v>25.250636942896225</v>
      </c>
      <c r="AM101" s="1119">
        <v>19.190799411358373</v>
      </c>
      <c r="AN101" s="1119">
        <v>21.904430753526604</v>
      </c>
      <c r="AO101" s="1119"/>
      <c r="AP101" s="1119">
        <v>41.273247496423465</v>
      </c>
      <c r="AQ101" s="1119">
        <v>37.625178826895571</v>
      </c>
      <c r="AR101" s="1119">
        <v>38.213576999400068</v>
      </c>
      <c r="BE101" s="926"/>
    </row>
    <row r="102" spans="17:57" ht="13.5" thickTop="1" x14ac:dyDescent="0.2">
      <c r="Q102" s="1386">
        <v>2014</v>
      </c>
      <c r="R102" s="910" t="s">
        <v>97</v>
      </c>
      <c r="S102" s="910">
        <v>41640</v>
      </c>
      <c r="T102" s="911">
        <v>6.0322397499415911E-2</v>
      </c>
      <c r="U102" s="912">
        <v>2.8220000000000001</v>
      </c>
      <c r="V102" s="911">
        <v>2.137576098490996E-2</v>
      </c>
      <c r="W102" s="911">
        <v>39.796671242278663</v>
      </c>
      <c r="X102" s="913">
        <v>21.375760984909959</v>
      </c>
      <c r="AA102" s="903">
        <v>6.0322397499415911E-2</v>
      </c>
      <c r="AB102" s="903">
        <v>2.82</v>
      </c>
      <c r="AC102" s="903">
        <v>2.1390921099083658E-2</v>
      </c>
      <c r="AD102" s="903">
        <v>39.796671242278663</v>
      </c>
      <c r="AE102" s="903">
        <v>21.375760984909959</v>
      </c>
      <c r="AF102" s="903">
        <v>24.566770000000002</v>
      </c>
      <c r="AG102" s="1113">
        <v>0.12869999999999998</v>
      </c>
      <c r="AH102" s="1113">
        <v>0.10890000000000002</v>
      </c>
      <c r="AI102" s="1113">
        <v>0.11222661290322583</v>
      </c>
      <c r="AJ102" s="903"/>
      <c r="AK102" s="1113">
        <v>38.509438261422282</v>
      </c>
      <c r="AL102" s="1113">
        <v>24.644757546762541</v>
      </c>
      <c r="AM102" s="1113">
        <v>6.7754195911756581</v>
      </c>
      <c r="AN102" s="1113">
        <v>17.287440450860519</v>
      </c>
      <c r="AO102" s="903"/>
      <c r="AP102" s="1113">
        <v>45.638297872340424</v>
      </c>
      <c r="AQ102" s="1113">
        <v>38.617021276595757</v>
      </c>
      <c r="AR102" s="1113">
        <v>39.79667124227867</v>
      </c>
      <c r="BE102" s="926"/>
    </row>
    <row r="103" spans="17:57" x14ac:dyDescent="0.2">
      <c r="Q103" s="1386"/>
      <c r="R103" s="910" t="s">
        <v>102</v>
      </c>
      <c r="S103" s="910"/>
      <c r="T103" s="911">
        <v>6.717589164110925E-2</v>
      </c>
      <c r="U103" s="912">
        <v>2.8010000000000002</v>
      </c>
      <c r="V103" s="911">
        <v>2.3982824577332827E-2</v>
      </c>
      <c r="W103" s="911">
        <v>43.764031066324712</v>
      </c>
      <c r="X103" s="913">
        <v>23.982824577332828</v>
      </c>
      <c r="AA103" s="903">
        <v>8.3619138151227165E-2</v>
      </c>
      <c r="AB103" s="903">
        <v>2.8090000000000002</v>
      </c>
      <c r="AC103" s="903">
        <v>2.9853316012576635E-2</v>
      </c>
      <c r="AD103" s="903">
        <v>43.764031066324712</v>
      </c>
      <c r="AE103" s="903">
        <v>23.982824577332828</v>
      </c>
      <c r="AF103" s="903">
        <v>24.566770000000002</v>
      </c>
      <c r="AG103" s="1113">
        <v>0.14066428571428574</v>
      </c>
      <c r="AH103" s="1113">
        <v>0.11907857142857142</v>
      </c>
      <c r="AI103" s="1113">
        <v>0.12293316326530612</v>
      </c>
      <c r="AJ103" s="903"/>
      <c r="AK103" s="1113">
        <v>38.562018839189513</v>
      </c>
      <c r="AL103" s="1113">
        <v>30.324121966713896</v>
      </c>
      <c r="AM103" s="1113">
        <v>6.2441100119734934</v>
      </c>
      <c r="AN103" s="1113">
        <v>20.351882577193145</v>
      </c>
      <c r="AO103" s="903"/>
      <c r="AP103" s="1113">
        <v>50.076285409144084</v>
      </c>
      <c r="AQ103" s="1113">
        <v>42.39180186136398</v>
      </c>
      <c r="AR103" s="1113">
        <v>43.764031066324712</v>
      </c>
      <c r="BE103" s="926"/>
    </row>
    <row r="104" spans="17:57" x14ac:dyDescent="0.2">
      <c r="Q104" s="1386"/>
      <c r="R104" s="910" t="s">
        <v>106</v>
      </c>
      <c r="S104" s="910">
        <v>41699</v>
      </c>
      <c r="T104" s="911">
        <v>9.6388748872320559E-2</v>
      </c>
      <c r="U104" s="912">
        <v>2.8090000000000002</v>
      </c>
      <c r="V104" s="911">
        <v>3.4314257341516753E-2</v>
      </c>
      <c r="W104" s="911">
        <v>44.2348327380884</v>
      </c>
      <c r="X104" s="913">
        <v>34.31425734151675</v>
      </c>
      <c r="AA104" s="903">
        <v>9.6388748872320559E-2</v>
      </c>
      <c r="AB104" s="903">
        <v>2.8090000000000002</v>
      </c>
      <c r="AC104" s="903">
        <v>3.4314257341516753E-2</v>
      </c>
      <c r="AD104" s="903">
        <v>44.2348327380884</v>
      </c>
      <c r="AE104" s="903">
        <v>34.31425734151675</v>
      </c>
      <c r="AF104" s="903">
        <v>24.566770000000002</v>
      </c>
      <c r="AG104" s="1113">
        <v>0.1421</v>
      </c>
      <c r="AH104" s="1113">
        <v>0.12029999999999999</v>
      </c>
      <c r="AI104" s="1113">
        <v>0.12425564516129031</v>
      </c>
      <c r="AJ104" s="903"/>
      <c r="AK104" s="1113">
        <v>51.840150430443259</v>
      </c>
      <c r="AL104" s="1113">
        <v>43.769732154722426</v>
      </c>
      <c r="AM104" s="1113">
        <v>11.046232435023525</v>
      </c>
      <c r="AN104" s="1113">
        <v>30.539917396307281</v>
      </c>
      <c r="AO104" s="903"/>
      <c r="AP104" s="1113">
        <v>50.5873976504094</v>
      </c>
      <c r="AQ104" s="1113">
        <v>42.826628693485219</v>
      </c>
      <c r="AR104" s="1113">
        <v>44.2348327380884</v>
      </c>
      <c r="BE104" s="926"/>
    </row>
    <row r="105" spans="17:57" x14ac:dyDescent="0.2">
      <c r="Q105" s="1386"/>
      <c r="R105" s="910" t="s">
        <v>107</v>
      </c>
      <c r="S105" s="910"/>
      <c r="T105" s="911">
        <v>7.8943956080856956E-2</v>
      </c>
      <c r="U105" s="912">
        <v>2.8090000000000002</v>
      </c>
      <c r="V105" s="911">
        <v>2.810393594904128E-2</v>
      </c>
      <c r="W105" s="911">
        <v>44.066195957438389</v>
      </c>
      <c r="X105" s="913">
        <v>28.103935949041279</v>
      </c>
      <c r="AA105" s="903">
        <v>7.8943956080856956E-2</v>
      </c>
      <c r="AB105" s="903">
        <v>2.8090000000000002</v>
      </c>
      <c r="AC105" s="903">
        <v>2.810393594904128E-2</v>
      </c>
      <c r="AD105" s="903">
        <v>44.066195957438389</v>
      </c>
      <c r="AE105" s="903">
        <v>28.103935949041279</v>
      </c>
      <c r="AF105" s="903">
        <v>24.566770000000002</v>
      </c>
      <c r="AG105" s="1113">
        <v>0.1421</v>
      </c>
      <c r="AH105" s="1113">
        <v>0.12029999999999999</v>
      </c>
      <c r="AI105" s="1113">
        <v>0.12378194444444444</v>
      </c>
      <c r="AJ105" s="903"/>
      <c r="AK105" s="1113">
        <v>39.248256792503383</v>
      </c>
      <c r="AL105" s="1113">
        <v>29.680383057764367</v>
      </c>
      <c r="AM105" s="1113">
        <v>20.046673248984195</v>
      </c>
      <c r="AN105" s="1113">
        <v>25.544145981898414</v>
      </c>
      <c r="AO105" s="903"/>
      <c r="AP105" s="1113">
        <v>50.5873976504094</v>
      </c>
      <c r="AQ105" s="1113">
        <v>42.826628693485219</v>
      </c>
      <c r="AR105" s="1113">
        <v>44.066195957438389</v>
      </c>
      <c r="BE105" s="926"/>
    </row>
    <row r="106" spans="17:57" x14ac:dyDescent="0.2">
      <c r="Q106" s="1386"/>
      <c r="R106" s="910" t="s">
        <v>108</v>
      </c>
      <c r="S106" s="910">
        <v>41760</v>
      </c>
      <c r="T106" s="911">
        <v>7.0336895234655208E-2</v>
      </c>
      <c r="U106" s="912">
        <v>2.7669999999999999</v>
      </c>
      <c r="V106" s="911">
        <v>2.541991154125595E-2</v>
      </c>
      <c r="W106" s="911">
        <v>40.773061079485807</v>
      </c>
      <c r="X106" s="913">
        <v>25.419911541255949</v>
      </c>
      <c r="AA106" s="903">
        <v>7.0336895234655208E-2</v>
      </c>
      <c r="AB106" s="903">
        <v>2.7669999999999999</v>
      </c>
      <c r="AC106" s="903">
        <v>2.541991154125595E-2</v>
      </c>
      <c r="AD106" s="903">
        <v>40.773061079485807</v>
      </c>
      <c r="AE106" s="903">
        <v>25.419911541255949</v>
      </c>
      <c r="AF106" s="903">
        <v>24.566770000000002</v>
      </c>
      <c r="AG106" s="1113">
        <v>0.12313225806451614</v>
      </c>
      <c r="AH106" s="1113">
        <v>0.11063548387096774</v>
      </c>
      <c r="AI106" s="1113">
        <v>0.11281906000693723</v>
      </c>
      <c r="AJ106" s="903"/>
      <c r="AK106" s="1113">
        <v>32.870472347556053</v>
      </c>
      <c r="AL106" s="1113">
        <v>28.313109951492851</v>
      </c>
      <c r="AM106" s="1113">
        <v>17.271051177566743</v>
      </c>
      <c r="AN106" s="1113">
        <v>23.598234082804716</v>
      </c>
      <c r="AO106" s="903"/>
      <c r="AP106" s="1113">
        <v>44.500273966214728</v>
      </c>
      <c r="AQ106" s="1113">
        <v>39.983911771220725</v>
      </c>
      <c r="AR106" s="1113">
        <v>40.773061079485807</v>
      </c>
      <c r="BE106" s="926"/>
    </row>
    <row r="107" spans="17:57" x14ac:dyDescent="0.2">
      <c r="Q107" s="1386"/>
      <c r="R107" s="910" t="s">
        <v>109</v>
      </c>
      <c r="S107" s="910"/>
      <c r="T107" s="903">
        <v>8.6574893795291749E-2</v>
      </c>
      <c r="U107" s="903">
        <v>2.7959999999999998</v>
      </c>
      <c r="V107" s="903">
        <v>3.096383898257931E-2</v>
      </c>
      <c r="W107" s="903">
        <v>39.912921236687332</v>
      </c>
      <c r="X107" s="903">
        <v>30.963838982579311</v>
      </c>
      <c r="AA107" s="903">
        <v>8.6574893795291749E-2</v>
      </c>
      <c r="AB107" s="903">
        <v>2.7959999999999998</v>
      </c>
      <c r="AC107" s="903">
        <v>3.096383898257931E-2</v>
      </c>
      <c r="AD107" s="903">
        <v>39.912921236687332</v>
      </c>
      <c r="AE107" s="903">
        <v>30.963838982579311</v>
      </c>
      <c r="AF107" s="903">
        <v>24.566770000000002</v>
      </c>
      <c r="AG107" s="1113">
        <v>0.12109999999999999</v>
      </c>
      <c r="AH107" s="1113">
        <v>0.1096</v>
      </c>
      <c r="AI107" s="1113">
        <v>0.11159652777777777</v>
      </c>
      <c r="AJ107" s="903"/>
      <c r="AK107" s="1113">
        <v>39.557673622928064</v>
      </c>
      <c r="AL107" s="1113">
        <v>33.744548248464064</v>
      </c>
      <c r="AM107" s="1113">
        <v>22.027310599888533</v>
      </c>
      <c r="AN107" s="1113">
        <v>28.882961425785897</v>
      </c>
      <c r="AO107" s="903"/>
      <c r="AP107" s="1113">
        <v>43.31187410586552</v>
      </c>
      <c r="AQ107" s="1113">
        <v>39.198855507868387</v>
      </c>
      <c r="AR107" s="1113">
        <v>39.912921236687332</v>
      </c>
      <c r="BE107" s="926"/>
    </row>
    <row r="108" spans="17:57" x14ac:dyDescent="0.2">
      <c r="Q108" s="1386"/>
      <c r="R108" s="910" t="s">
        <v>110</v>
      </c>
      <c r="S108" s="910">
        <v>41821</v>
      </c>
      <c r="T108" s="903">
        <v>6.9678299504564847E-2</v>
      </c>
      <c r="U108" s="903">
        <v>2.7970000000000002</v>
      </c>
      <c r="V108" s="903">
        <v>2.4911798178249855E-2</v>
      </c>
      <c r="W108" s="903">
        <v>39.704239379415363</v>
      </c>
      <c r="X108" s="903">
        <v>24.911798178249853</v>
      </c>
      <c r="AA108" s="903">
        <v>6.9678299504564847E-2</v>
      </c>
      <c r="AB108" s="903">
        <v>2.7970000000000002</v>
      </c>
      <c r="AC108" s="903">
        <v>2.4911798178249855E-2</v>
      </c>
      <c r="AD108" s="903">
        <v>39.704239379415363</v>
      </c>
      <c r="AE108" s="903">
        <v>24.911798178249853</v>
      </c>
      <c r="AF108" s="903">
        <v>24.566770000000002</v>
      </c>
      <c r="AG108" s="1113">
        <v>0.12001612903225807</v>
      </c>
      <c r="AH108" s="1113">
        <v>0.10932903225806452</v>
      </c>
      <c r="AI108" s="1113">
        <v>0.11105275754422478</v>
      </c>
      <c r="AJ108" s="903"/>
      <c r="AK108" s="1113">
        <v>33.104205265021747</v>
      </c>
      <c r="AL108" s="1113">
        <v>26.345594097202483</v>
      </c>
      <c r="AM108" s="1113">
        <v>18.263421173897925</v>
      </c>
      <c r="AN108" s="1113">
        <v>23.011041583370048</v>
      </c>
      <c r="AO108" s="903"/>
      <c r="AP108" s="1113">
        <v>42.908877022616402</v>
      </c>
      <c r="AQ108" s="1113">
        <v>39.087962909569008</v>
      </c>
      <c r="AR108" s="1113">
        <v>39.704239379415363</v>
      </c>
      <c r="BE108" s="926"/>
    </row>
    <row r="109" spans="17:57" x14ac:dyDescent="0.2">
      <c r="Q109" s="1386"/>
      <c r="R109" s="910" t="s">
        <v>111</v>
      </c>
      <c r="S109" s="910"/>
      <c r="T109" s="903">
        <v>7.8005860675701671E-2</v>
      </c>
      <c r="U109" s="903">
        <v>2.8450000000000002</v>
      </c>
      <c r="V109" s="903">
        <v>2.7418580202355596E-2</v>
      </c>
      <c r="W109" s="903">
        <v>39.230020598295447</v>
      </c>
      <c r="X109" s="903">
        <v>27.418580202355596</v>
      </c>
      <c r="AA109" s="903">
        <v>7.8005860675701671E-2</v>
      </c>
      <c r="AB109" s="903">
        <v>2.8450000000000002</v>
      </c>
      <c r="AC109" s="903">
        <v>2.7418580202355596E-2</v>
      </c>
      <c r="AD109" s="903">
        <v>39.230020598295447</v>
      </c>
      <c r="AE109" s="903">
        <v>27.418580202355596</v>
      </c>
      <c r="AF109" s="903">
        <v>24.566770000000002</v>
      </c>
      <c r="AG109" s="1113">
        <v>0.1211</v>
      </c>
      <c r="AH109" s="1113">
        <v>0.1096</v>
      </c>
      <c r="AI109" s="1113">
        <v>0.11160940860215054</v>
      </c>
      <c r="AJ109" s="903"/>
      <c r="AK109" s="1113">
        <v>35.46511035006192</v>
      </c>
      <c r="AL109" s="1113">
        <v>29.012935248486659</v>
      </c>
      <c r="AM109" s="1113">
        <v>20.618526767447513</v>
      </c>
      <c r="AN109" s="1113">
        <v>25.553535647890673</v>
      </c>
      <c r="AO109" s="903"/>
      <c r="AP109" s="1113">
        <v>42.565905096660806</v>
      </c>
      <c r="AQ109" s="1113">
        <v>38.523725834797894</v>
      </c>
      <c r="AR109" s="1113">
        <v>39.230020598295447</v>
      </c>
      <c r="BE109" s="926"/>
    </row>
    <row r="110" spans="17:57" x14ac:dyDescent="0.2">
      <c r="Q110" s="1386"/>
      <c r="R110" s="910" t="s">
        <v>112</v>
      </c>
      <c r="S110" s="910">
        <v>41883</v>
      </c>
      <c r="T110" s="903">
        <v>6.8993931602544425E-2</v>
      </c>
      <c r="U110" s="903">
        <v>2.8919999999999999</v>
      </c>
      <c r="V110" s="903">
        <v>2.3856822822456578E-2</v>
      </c>
      <c r="W110" s="903">
        <v>38.615625480252035</v>
      </c>
      <c r="X110" s="903">
        <v>23.856822822456579</v>
      </c>
      <c r="AA110" s="903">
        <v>6.8993931602544425E-2</v>
      </c>
      <c r="AB110" s="903">
        <v>2.8919999999999999</v>
      </c>
      <c r="AC110" s="903">
        <v>2.3856822822456578E-2</v>
      </c>
      <c r="AD110" s="903">
        <v>38.615625480252035</v>
      </c>
      <c r="AE110" s="903">
        <v>23.856822822456579</v>
      </c>
      <c r="AF110" s="903">
        <v>24.566770000000002</v>
      </c>
      <c r="AG110" s="1113">
        <v>0.12109999999999999</v>
      </c>
      <c r="AH110" s="1113">
        <v>0.1096</v>
      </c>
      <c r="AI110" s="1113">
        <v>0.11167638888888888</v>
      </c>
      <c r="AJ110" s="903"/>
      <c r="AK110" s="1113">
        <v>31.853226384192205</v>
      </c>
      <c r="AL110" s="1113">
        <v>23.928093288602099</v>
      </c>
      <c r="AM110" s="1113">
        <v>19.441569539059149</v>
      </c>
      <c r="AN110" s="1113">
        <v>22.007837175295762</v>
      </c>
      <c r="AO110" s="903"/>
      <c r="AP110" s="1113">
        <v>41.874135546334713</v>
      </c>
      <c r="AQ110" s="1113">
        <v>37.897648686030436</v>
      </c>
      <c r="AR110" s="1113">
        <v>38.615625480252035</v>
      </c>
      <c r="BE110" s="926"/>
    </row>
    <row r="111" spans="17:57" x14ac:dyDescent="0.2">
      <c r="Q111" s="1386"/>
      <c r="R111" s="910" t="s">
        <v>113</v>
      </c>
      <c r="S111" s="910"/>
      <c r="T111" s="903">
        <v>5.253106405389369E-2</v>
      </c>
      <c r="U111" s="903">
        <v>2.923</v>
      </c>
      <c r="V111" s="903">
        <v>1.7971626429659149E-2</v>
      </c>
      <c r="W111" s="903">
        <v>40.260408526916251</v>
      </c>
      <c r="X111" s="903">
        <v>17.97162642965915</v>
      </c>
      <c r="AA111" s="903">
        <v>5.253106405389369E-2</v>
      </c>
      <c r="AB111" s="903">
        <v>2.923</v>
      </c>
      <c r="AC111" s="903">
        <v>1.7971626429659149E-2</v>
      </c>
      <c r="AD111" s="903">
        <v>40.260408526916251</v>
      </c>
      <c r="AE111" s="903">
        <v>17.97162642965915</v>
      </c>
      <c r="AF111" s="903">
        <v>24.566770000000002</v>
      </c>
      <c r="AG111" s="1113">
        <v>0.12769354838709676</v>
      </c>
      <c r="AH111" s="1113">
        <v>0.11556129032258065</v>
      </c>
      <c r="AI111" s="1113">
        <v>0.11768117412417621</v>
      </c>
      <c r="AJ111" s="903"/>
      <c r="AK111" s="1113">
        <v>19.445120099230323</v>
      </c>
      <c r="AL111" s="1113">
        <v>19.440658424107315</v>
      </c>
      <c r="AM111" s="1113">
        <v>15.16065591648611</v>
      </c>
      <c r="AN111" s="1113">
        <v>17.6140630429725</v>
      </c>
      <c r="AO111" s="903"/>
      <c r="AP111" s="1113">
        <v>43.68578460044364</v>
      </c>
      <c r="AQ111" s="1113">
        <v>39.535166035778538</v>
      </c>
      <c r="AR111" s="1113">
        <v>40.260408526916251</v>
      </c>
      <c r="BE111" s="926"/>
    </row>
    <row r="112" spans="17:57" x14ac:dyDescent="0.2">
      <c r="Q112" s="1386"/>
      <c r="R112" s="910" t="s">
        <v>114</v>
      </c>
      <c r="S112" s="910">
        <v>41944</v>
      </c>
      <c r="T112" s="903">
        <v>6.2255804521329554E-2</v>
      </c>
      <c r="U112" s="903">
        <v>2.92</v>
      </c>
      <c r="V112" s="903">
        <v>2.1320481000455326E-2</v>
      </c>
      <c r="W112" s="903">
        <v>40.503662480974121</v>
      </c>
      <c r="X112" s="903">
        <v>21.320481000455324</v>
      </c>
      <c r="AA112" s="903">
        <v>6.8486878304123658E-2</v>
      </c>
      <c r="AB112" s="903">
        <v>2.92</v>
      </c>
      <c r="AC112" s="903">
        <v>2.3454410378124541E-2</v>
      </c>
      <c r="AD112" s="903">
        <v>40.503662480974121</v>
      </c>
      <c r="AE112" s="903">
        <v>21.320481000455324</v>
      </c>
      <c r="AF112" s="903">
        <v>24.566770000000002</v>
      </c>
      <c r="AG112" s="1113">
        <v>0.12827</v>
      </c>
      <c r="AH112" s="1113">
        <v>0.11617</v>
      </c>
      <c r="AI112" s="1113">
        <v>0.11827069444444444</v>
      </c>
      <c r="AJ112" s="903"/>
      <c r="AK112" s="1113">
        <v>26.319225528880438</v>
      </c>
      <c r="AL112" s="1113">
        <v>22.411006212436408</v>
      </c>
      <c r="AM112" s="1113">
        <v>17.187488898638865</v>
      </c>
      <c r="AN112" s="1113">
        <v>20.176612110017842</v>
      </c>
      <c r="AO112" s="903"/>
      <c r="AP112" s="1113">
        <v>43.928082191780824</v>
      </c>
      <c r="AQ112" s="1113">
        <v>39.784246575342465</v>
      </c>
      <c r="AR112" s="1113">
        <v>40.503662480974121</v>
      </c>
      <c r="BE112" s="926"/>
    </row>
    <row r="113" spans="17:57" ht="13.5" thickBot="1" x14ac:dyDescent="0.25">
      <c r="Q113" s="1387"/>
      <c r="R113" s="1114" t="s">
        <v>115</v>
      </c>
      <c r="S113" s="1114"/>
      <c r="T113" s="1119">
        <v>4.5317311299814665E-2</v>
      </c>
      <c r="U113" s="1119">
        <v>2.9889999999999999</v>
      </c>
      <c r="V113" s="1119">
        <v>1.5161362094283931E-2</v>
      </c>
      <c r="W113" s="1119">
        <v>39.534206067408455</v>
      </c>
      <c r="X113" s="1119">
        <v>15.1613620942839</v>
      </c>
      <c r="Y113" s="1120"/>
      <c r="Z113" s="1120"/>
      <c r="AA113" s="1119">
        <v>4.5317311299814665E-2</v>
      </c>
      <c r="AB113" s="1119">
        <v>2.9889999999999999</v>
      </c>
      <c r="AC113" s="1119">
        <v>1.5161362094283931E-2</v>
      </c>
      <c r="AD113" s="1119">
        <v>39.534206067408455</v>
      </c>
      <c r="AE113" s="1119">
        <v>15.1613620942839</v>
      </c>
      <c r="AF113" s="1119">
        <v>24.566770000000002</v>
      </c>
      <c r="AG113" s="1118">
        <v>0.12839999999999999</v>
      </c>
      <c r="AH113" s="1118">
        <v>0.1162</v>
      </c>
      <c r="AI113" s="1118">
        <v>0.118167741935484</v>
      </c>
      <c r="AJ113" s="1119"/>
      <c r="AK113" s="1118">
        <v>20.176612110017842</v>
      </c>
      <c r="AL113" s="1118">
        <v>26.319225528880438</v>
      </c>
      <c r="AM113" s="1118">
        <v>22.411006212436408</v>
      </c>
      <c r="AN113" s="1118">
        <v>20.176612110017842</v>
      </c>
      <c r="AO113" s="1119"/>
      <c r="AP113" s="1118">
        <v>42.957510873201734</v>
      </c>
      <c r="AQ113" s="1118">
        <v>38.875878220140514</v>
      </c>
      <c r="AR113" s="1118">
        <v>39.534206067408455</v>
      </c>
      <c r="BE113" s="926"/>
    </row>
    <row r="114" spans="17:57" ht="13.5" thickTop="1" x14ac:dyDescent="0.2">
      <c r="Q114" s="1386">
        <v>2015</v>
      </c>
      <c r="R114" s="910" t="s">
        <v>97</v>
      </c>
      <c r="S114" s="910">
        <v>42005</v>
      </c>
      <c r="T114" s="911">
        <v>4.3155122579536423E-2</v>
      </c>
      <c r="U114" s="912">
        <v>3.0579999999999998</v>
      </c>
      <c r="V114" s="911">
        <v>1.4112204898474959E-2</v>
      </c>
      <c r="W114" s="911">
        <v>38.668976841986826</v>
      </c>
      <c r="X114" s="913">
        <v>14.112204898474959</v>
      </c>
      <c r="AA114" s="1113">
        <v>4.3155122579536423E-2</v>
      </c>
      <c r="AB114" s="1113">
        <v>3.0579999999999998</v>
      </c>
      <c r="AC114" s="1113">
        <v>1.4112204898474959E-2</v>
      </c>
      <c r="AD114" s="1113">
        <v>38.668976841986826</v>
      </c>
      <c r="AE114" s="1113">
        <v>14.112204898474959</v>
      </c>
      <c r="AF114" s="1113">
        <v>14.700776067881336</v>
      </c>
      <c r="AG114" s="1113">
        <v>0.12839999999999999</v>
      </c>
      <c r="AH114" s="1113">
        <v>0.1162</v>
      </c>
      <c r="AI114" s="1113">
        <v>0.11824973118279569</v>
      </c>
      <c r="AJ114" s="903"/>
      <c r="AK114" s="1113">
        <v>18.287458428875322</v>
      </c>
      <c r="AL114" s="1113">
        <v>15.777435287314979</v>
      </c>
      <c r="AM114" s="1113">
        <v>9.5613246632384747</v>
      </c>
      <c r="AN114" s="1113">
        <v>13.117386239289132</v>
      </c>
      <c r="AO114" s="903"/>
      <c r="AP114" s="1113">
        <v>41.988227599738387</v>
      </c>
      <c r="AQ114" s="1113">
        <v>37.998691955526489</v>
      </c>
      <c r="AR114" s="1113">
        <v>38.668976841986819</v>
      </c>
      <c r="BE114" s="926"/>
    </row>
    <row r="115" spans="17:57" x14ac:dyDescent="0.2">
      <c r="Q115" s="1386"/>
      <c r="R115" s="910" t="s">
        <v>102</v>
      </c>
      <c r="S115" s="910"/>
      <c r="T115" s="911">
        <v>5.021221396314382E-2</v>
      </c>
      <c r="U115" s="912">
        <v>3.0950000000000002</v>
      </c>
      <c r="V115" s="911">
        <v>1.6223655561597355E-2</v>
      </c>
      <c r="W115" s="911">
        <v>40.419166858989144</v>
      </c>
      <c r="X115" s="913">
        <v>16.223655561597354</v>
      </c>
      <c r="AA115" s="1113">
        <v>5.0212213963143813E-2</v>
      </c>
      <c r="AB115" s="1113">
        <v>3.0950000000000002</v>
      </c>
      <c r="AC115" s="1113">
        <v>1.6223655561597355E-2</v>
      </c>
      <c r="AD115" s="1113">
        <v>40.419166858989144</v>
      </c>
      <c r="AE115" s="1113">
        <v>16.223655561597354</v>
      </c>
      <c r="AF115" s="1113">
        <v>14.700776067881336</v>
      </c>
      <c r="AG115" s="1113">
        <v>0.13563214285714287</v>
      </c>
      <c r="AH115" s="1113">
        <v>0.12280714285714285</v>
      </c>
      <c r="AI115" s="1113">
        <v>0.12509732142857141</v>
      </c>
      <c r="AJ115" s="903"/>
      <c r="AK115" s="1113">
        <v>18.685469223041768</v>
      </c>
      <c r="AL115" s="1113">
        <v>18.299142738735707</v>
      </c>
      <c r="AM115" s="1113">
        <v>13.547783985874004</v>
      </c>
      <c r="AN115" s="1113">
        <v>16.142586772950242</v>
      </c>
      <c r="AO115" s="903"/>
      <c r="AP115" s="1113">
        <v>43.822986383567972</v>
      </c>
      <c r="AQ115" s="1113">
        <v>39.679206092776361</v>
      </c>
      <c r="AR115" s="1113">
        <v>40.419166858989144</v>
      </c>
      <c r="BE115" s="926"/>
    </row>
    <row r="116" spans="17:57" x14ac:dyDescent="0.2">
      <c r="Q116" s="1386"/>
      <c r="R116" s="910" t="s">
        <v>106</v>
      </c>
      <c r="S116" s="910">
        <v>42064</v>
      </c>
      <c r="T116" s="911">
        <v>5.2886967177954783E-2</v>
      </c>
      <c r="U116" s="912">
        <v>3.097</v>
      </c>
      <c r="V116" s="911">
        <v>1.7076837965112942E-2</v>
      </c>
      <c r="W116" s="911">
        <v>40.637401439478374</v>
      </c>
      <c r="X116" s="913">
        <v>17.076837965112944</v>
      </c>
      <c r="AA116" s="1113">
        <v>5.2886967177954797E-2</v>
      </c>
      <c r="AB116" s="1113">
        <v>3.097</v>
      </c>
      <c r="AC116" s="1113">
        <v>1.7076837965112945E-2</v>
      </c>
      <c r="AD116" s="1113">
        <v>40.637401439478374</v>
      </c>
      <c r="AE116" s="1113">
        <v>17.076837965112944</v>
      </c>
      <c r="AF116" s="1113">
        <v>14.700776067881336</v>
      </c>
      <c r="AG116" s="1113">
        <v>0.13650000000000001</v>
      </c>
      <c r="AH116" s="1113">
        <v>0.12359999999999999</v>
      </c>
      <c r="AI116" s="1113">
        <v>0.12585403225806452</v>
      </c>
      <c r="AJ116" s="903"/>
      <c r="AK116" s="1113">
        <v>29.847114151164202</v>
      </c>
      <c r="AL116" s="1113">
        <v>19.024637601717696</v>
      </c>
      <c r="AM116" s="1113">
        <v>6.862754347670597</v>
      </c>
      <c r="AN116" s="1113">
        <v>14.007307262405124</v>
      </c>
      <c r="AO116" s="903"/>
      <c r="AP116" s="1113">
        <v>44.074911204391356</v>
      </c>
      <c r="AQ116" s="1113">
        <v>39.909589925734579</v>
      </c>
      <c r="AR116" s="1113">
        <v>40.637401439478374</v>
      </c>
      <c r="BE116" s="926"/>
    </row>
    <row r="117" spans="17:57" x14ac:dyDescent="0.2">
      <c r="Q117" s="1386"/>
      <c r="R117" s="910" t="s">
        <v>107</v>
      </c>
      <c r="S117" s="910"/>
      <c r="T117" s="911">
        <v>4.098191413110007E-2</v>
      </c>
      <c r="U117" s="912">
        <v>3.1269999999999998</v>
      </c>
      <c r="V117" s="911">
        <v>1.3105824794083809E-2</v>
      </c>
      <c r="W117" s="911">
        <v>40.214262871762074</v>
      </c>
      <c r="X117" s="913">
        <v>13.105824794083809</v>
      </c>
      <c r="AA117" s="1113">
        <v>4.098191413110007E-2</v>
      </c>
      <c r="AB117" s="1113">
        <v>3.1269999999999998</v>
      </c>
      <c r="AC117" s="1113">
        <v>1.3105824794083809E-2</v>
      </c>
      <c r="AD117" s="1113">
        <v>40.214262871762074</v>
      </c>
      <c r="AE117" s="1113">
        <v>13.105824794083809</v>
      </c>
      <c r="AF117" s="1113">
        <v>14.700776067881336</v>
      </c>
      <c r="AG117" s="1113">
        <v>0.13650000000000001</v>
      </c>
      <c r="AH117" s="1113">
        <v>0.12359999999999999</v>
      </c>
      <c r="AI117" s="1113">
        <v>0.12575</v>
      </c>
      <c r="AJ117" s="903"/>
      <c r="AK117" s="1113">
        <v>20.96176282111659</v>
      </c>
      <c r="AL117" s="1113">
        <v>15.920542697217307</v>
      </c>
      <c r="AM117" s="1113">
        <v>4.6659233002454581</v>
      </c>
      <c r="AN117" s="1113">
        <v>11.299294339123135</v>
      </c>
      <c r="AO117" s="903"/>
      <c r="AP117" s="1113">
        <v>43.652062679884885</v>
      </c>
      <c r="AQ117" s="1113">
        <v>39.526702910137509</v>
      </c>
      <c r="AR117" s="1113">
        <v>40.214262871762074</v>
      </c>
      <c r="BE117" s="926"/>
    </row>
    <row r="118" spans="17:57" x14ac:dyDescent="0.2">
      <c r="Q118" s="1386"/>
      <c r="R118" s="910" t="s">
        <v>108</v>
      </c>
      <c r="S118" s="910">
        <v>42125</v>
      </c>
      <c r="T118" s="911">
        <v>4.6825972958504596E-2</v>
      </c>
      <c r="U118" s="912">
        <v>3.1579999999999999</v>
      </c>
      <c r="V118" s="911">
        <v>1.4827730512509373E-2</v>
      </c>
      <c r="W118" s="911">
        <v>40.92567434132124</v>
      </c>
      <c r="X118" s="913">
        <v>14.827730512509373</v>
      </c>
      <c r="AA118" s="1113">
        <v>4.6825972958504596E-2</v>
      </c>
      <c r="AB118" s="1113">
        <v>3.1579999999999999</v>
      </c>
      <c r="AC118" s="1113">
        <v>1.4827730512509373E-2</v>
      </c>
      <c r="AD118" s="1113">
        <v>40.92567434132124</v>
      </c>
      <c r="AE118" s="1113">
        <v>14.827730512509373</v>
      </c>
      <c r="AF118" s="1113">
        <v>14.700776067881336</v>
      </c>
      <c r="AG118" s="1113">
        <v>0.13539999999999999</v>
      </c>
      <c r="AH118" s="1113">
        <v>0.128</v>
      </c>
      <c r="AI118" s="1113">
        <v>0.12924327956989248</v>
      </c>
      <c r="AJ118" s="903"/>
      <c r="AK118" s="1113">
        <v>15.237720988490487</v>
      </c>
      <c r="AL118" s="1113">
        <v>17.403566806233936</v>
      </c>
      <c r="AM118" s="1113">
        <v>11.351670129465026</v>
      </c>
      <c r="AN118" s="1113">
        <v>14.739325820515393</v>
      </c>
      <c r="AO118" s="903"/>
      <c r="AP118" s="1113">
        <v>42.875237492083592</v>
      </c>
      <c r="AQ118" s="1113">
        <v>40.53198226725776</v>
      </c>
      <c r="AR118" s="1113">
        <v>40.925674341321248</v>
      </c>
      <c r="BE118" s="926"/>
    </row>
    <row r="119" spans="17:57" x14ac:dyDescent="0.2">
      <c r="Q119" s="1386"/>
      <c r="R119" s="910" t="s">
        <v>109</v>
      </c>
      <c r="S119" s="910"/>
      <c r="T119" s="903">
        <v>5.3770236728686527E-2</v>
      </c>
      <c r="U119" s="903">
        <v>3.1789999999999998</v>
      </c>
      <c r="V119" s="903">
        <v>1.6914198404745683E-2</v>
      </c>
      <c r="W119" s="903">
        <v>40.668361818880847</v>
      </c>
      <c r="X119" s="903">
        <v>16.914198404745683</v>
      </c>
      <c r="AA119" s="1113">
        <v>5.3770236728686527E-2</v>
      </c>
      <c r="AB119" s="1113">
        <v>3.1789999999999998</v>
      </c>
      <c r="AC119" s="1113">
        <v>1.6914198404745683E-2</v>
      </c>
      <c r="AD119" s="1113">
        <v>40.668361818880847</v>
      </c>
      <c r="AE119" s="1113">
        <v>16.914198404745683</v>
      </c>
      <c r="AF119" s="1113">
        <v>14.700776067881336</v>
      </c>
      <c r="AG119" s="1113">
        <v>0.13539999999999999</v>
      </c>
      <c r="AH119" s="1113">
        <v>0.128</v>
      </c>
      <c r="AI119" s="1113">
        <v>0.1292847222222222</v>
      </c>
      <c r="AJ119" s="903"/>
      <c r="AK119" s="1113">
        <v>20.153868315553453</v>
      </c>
      <c r="AL119" s="1113">
        <v>17.496518594313116</v>
      </c>
      <c r="AM119" s="1113">
        <v>14.224395964685908</v>
      </c>
      <c r="AN119" s="1113">
        <v>16.137828270026887</v>
      </c>
      <c r="AO119" s="903"/>
      <c r="AP119" s="1113">
        <v>42.592010066058513</v>
      </c>
      <c r="AQ119" s="1113">
        <v>40.264234035860341</v>
      </c>
      <c r="AR119" s="1113">
        <v>40.668361818880847</v>
      </c>
      <c r="BE119" s="926"/>
    </row>
    <row r="120" spans="17:57" x14ac:dyDescent="0.2">
      <c r="Q120" s="1386"/>
      <c r="R120" s="910" t="s">
        <v>110</v>
      </c>
      <c r="S120" s="910">
        <v>42186</v>
      </c>
      <c r="T120" s="903">
        <v>3.490838773245613E-2</v>
      </c>
      <c r="U120" s="903">
        <v>3.1920000000000002</v>
      </c>
      <c r="V120" s="903">
        <v>1.093621169563162E-2</v>
      </c>
      <c r="W120" s="903">
        <v>40.474169294203257</v>
      </c>
      <c r="X120" s="903">
        <v>10.93621169563162</v>
      </c>
      <c r="AA120" s="1113">
        <v>3.490838773245613E-2</v>
      </c>
      <c r="AB120" s="1113">
        <v>3.1920000000000002</v>
      </c>
      <c r="AC120" s="1113">
        <v>1.093621169563162E-2</v>
      </c>
      <c r="AD120" s="1113">
        <v>40.474169294203257</v>
      </c>
      <c r="AE120" s="1113">
        <v>10.93621169563162</v>
      </c>
      <c r="AF120" s="1113">
        <v>14.700776067881336</v>
      </c>
      <c r="AG120" s="1113">
        <v>0.13539999999999999</v>
      </c>
      <c r="AH120" s="1113">
        <v>0.128</v>
      </c>
      <c r="AI120" s="1113">
        <v>0.12919354838709679</v>
      </c>
      <c r="AJ120" s="903"/>
      <c r="AK120" s="1113">
        <v>10.502171341845317</v>
      </c>
      <c r="AL120" s="1113">
        <v>11.949835116131947</v>
      </c>
      <c r="AM120" s="1113">
        <v>9.8282989468052246</v>
      </c>
      <c r="AN120" s="1113">
        <v>11.024409143393157</v>
      </c>
      <c r="AO120" s="903"/>
      <c r="AP120" s="1113">
        <v>42.418546365914779</v>
      </c>
      <c r="AQ120" s="1113">
        <v>40.100250626566414</v>
      </c>
      <c r="AR120" s="1113">
        <v>40.474169294203257</v>
      </c>
      <c r="BE120" s="926"/>
    </row>
    <row r="121" spans="17:57" x14ac:dyDescent="0.2">
      <c r="Q121" s="1386"/>
      <c r="R121" s="910" t="s">
        <v>111</v>
      </c>
      <c r="S121" s="910"/>
      <c r="T121" s="903">
        <v>6.9580338344884848E-2</v>
      </c>
      <c r="U121" s="903">
        <v>3.2370000000000001</v>
      </c>
      <c r="V121" s="903">
        <v>2.1495316139908818E-2</v>
      </c>
      <c r="W121" s="903">
        <v>39.942233782109419</v>
      </c>
      <c r="X121" s="903">
        <v>21.495316139908816</v>
      </c>
      <c r="AA121" s="1113">
        <v>6.9580338344884848E-2</v>
      </c>
      <c r="AB121" s="1113">
        <v>3.2370000000000001</v>
      </c>
      <c r="AC121" s="1113">
        <v>2.1495316139908818E-2</v>
      </c>
      <c r="AD121" s="1113">
        <v>39.942233782109419</v>
      </c>
      <c r="AE121" s="1113">
        <v>21.495316139908816</v>
      </c>
      <c r="AF121" s="1113">
        <v>14.700776067881336</v>
      </c>
      <c r="AG121" s="1113">
        <v>0.13539999999999999</v>
      </c>
      <c r="AH121" s="1113">
        <v>0.128</v>
      </c>
      <c r="AI121" s="1113">
        <v>0.12929301075268818</v>
      </c>
      <c r="AJ121" s="903"/>
      <c r="AK121" s="1113">
        <v>28.089793136236441</v>
      </c>
      <c r="AL121" s="1113">
        <v>23.816591007182705</v>
      </c>
      <c r="AM121" s="1113">
        <v>14.460852728536135</v>
      </c>
      <c r="AN121" s="1113">
        <v>19.90411236163472</v>
      </c>
      <c r="AO121" s="903"/>
      <c r="AP121" s="1113">
        <v>41.82885387704664</v>
      </c>
      <c r="AQ121" s="1113">
        <v>39.54278653073834</v>
      </c>
      <c r="AR121" s="1113">
        <v>39.942233782109412</v>
      </c>
      <c r="BE121" s="926"/>
    </row>
    <row r="122" spans="17:57" x14ac:dyDescent="0.2">
      <c r="Q122" s="1386"/>
      <c r="R122" s="910" t="s">
        <v>112</v>
      </c>
      <c r="S122" s="910">
        <v>42248</v>
      </c>
      <c r="T122" s="903">
        <v>4.6691696555771808E-2</v>
      </c>
      <c r="U122" s="903">
        <v>3.2229999999999999</v>
      </c>
      <c r="V122" s="903">
        <v>1.4487029648083093E-2</v>
      </c>
      <c r="W122" s="903">
        <v>41.312010893922157</v>
      </c>
      <c r="X122" s="903">
        <v>14.487029648083093</v>
      </c>
      <c r="AA122" s="1113">
        <v>4.6691696555771808E-2</v>
      </c>
      <c r="AB122" s="1113">
        <v>3.2229999999999999</v>
      </c>
      <c r="AC122" s="1113">
        <v>1.4487029648083093E-2</v>
      </c>
      <c r="AD122" s="1113">
        <v>41.312010893922157</v>
      </c>
      <c r="AE122" s="1113">
        <v>14.487029648083093</v>
      </c>
      <c r="AF122" s="1113">
        <v>14.700776067881336</v>
      </c>
      <c r="AG122" s="1113">
        <v>0.13936000000000001</v>
      </c>
      <c r="AH122" s="1113">
        <v>0.13178000000000001</v>
      </c>
      <c r="AI122" s="1113">
        <v>0.13314861111111112</v>
      </c>
      <c r="AJ122" s="903"/>
      <c r="AK122" s="1113">
        <v>18.280411187995973</v>
      </c>
      <c r="AL122" s="1113">
        <v>15.135597274916917</v>
      </c>
      <c r="AM122" s="1113">
        <v>11.355026091721742</v>
      </c>
      <c r="AN122" s="1113">
        <v>13.542488593058376</v>
      </c>
      <c r="AO122" s="903"/>
      <c r="AP122" s="1113">
        <v>43.239218119764203</v>
      </c>
      <c r="AQ122" s="1113">
        <v>40.887372013651884</v>
      </c>
      <c r="AR122" s="1113">
        <v>41.312010893922164</v>
      </c>
      <c r="BE122" s="926"/>
    </row>
    <row r="123" spans="17:57" x14ac:dyDescent="0.2">
      <c r="Q123" s="1386"/>
      <c r="R123" s="910" t="s">
        <v>113</v>
      </c>
      <c r="S123" s="910"/>
      <c r="T123" s="903">
        <v>4.6830172188727544E-2</v>
      </c>
      <c r="U123" s="903">
        <v>3.2869999999999999</v>
      </c>
      <c r="V123" s="903">
        <v>1.4247086154161103E-2</v>
      </c>
      <c r="W123" s="903">
        <v>40.623047456418412</v>
      </c>
      <c r="X123" s="903">
        <v>14.247086154161103</v>
      </c>
      <c r="AA123" s="1113">
        <v>4.6830172188727544E-2</v>
      </c>
      <c r="AB123" s="1113">
        <v>3.2869999999999999</v>
      </c>
      <c r="AC123" s="1113">
        <v>1.4247086154161103E-2</v>
      </c>
      <c r="AD123" s="1113">
        <v>40.623047456418412</v>
      </c>
      <c r="AE123" s="1113">
        <v>14.247086154161103</v>
      </c>
      <c r="AF123" s="1113">
        <v>14.700776067881336</v>
      </c>
      <c r="AG123" s="1113">
        <v>0.13980000000000001</v>
      </c>
      <c r="AH123" s="1113">
        <v>0.13220000000000001</v>
      </c>
      <c r="AI123" s="1113">
        <v>0.13352795698924733</v>
      </c>
      <c r="AJ123" s="903"/>
      <c r="AK123" s="1113">
        <v>14.467393563303791</v>
      </c>
      <c r="AL123" s="1113">
        <v>14.676007701984938</v>
      </c>
      <c r="AM123" s="1113">
        <v>13.526230002940853</v>
      </c>
      <c r="AN123" s="1113">
        <v>14.194463358802569</v>
      </c>
      <c r="AO123" s="903"/>
      <c r="AP123" s="1113">
        <v>42.531183449954362</v>
      </c>
      <c r="AQ123" s="1113">
        <v>40.219044721630674</v>
      </c>
      <c r="AR123" s="1113">
        <v>40.623047456418412</v>
      </c>
      <c r="BE123" s="926"/>
    </row>
    <row r="124" spans="17:57" x14ac:dyDescent="0.2">
      <c r="Q124" s="1386"/>
      <c r="R124" s="910" t="s">
        <v>114</v>
      </c>
      <c r="S124" s="910">
        <v>42309</v>
      </c>
      <c r="T124" s="903">
        <v>3.9114516724651986E-2</v>
      </c>
      <c r="U124" s="903">
        <v>3.3759999999999999</v>
      </c>
      <c r="V124" s="903">
        <v>1.1586053532183645E-2</v>
      </c>
      <c r="W124" s="903">
        <v>39.487065560821499</v>
      </c>
      <c r="X124" s="903">
        <v>11.586053532183644</v>
      </c>
      <c r="AA124" s="1113">
        <v>3.9114516724651986E-2</v>
      </c>
      <c r="AB124" s="1113">
        <v>3.3759999999999999</v>
      </c>
      <c r="AC124" s="1113">
        <v>1.1586053532183645E-2</v>
      </c>
      <c r="AD124" s="1113">
        <v>39.487065560821499</v>
      </c>
      <c r="AE124" s="1113">
        <v>11.586053532183644</v>
      </c>
      <c r="AF124" s="1113">
        <v>14.700776067881336</v>
      </c>
      <c r="AG124" s="1113">
        <v>0.13980000000000001</v>
      </c>
      <c r="AH124" s="1113">
        <v>0.13220000000000001</v>
      </c>
      <c r="AI124" s="1113">
        <v>0.13330833333333336</v>
      </c>
      <c r="AJ124" s="903"/>
      <c r="AK124" s="1113">
        <v>15.73494285949984</v>
      </c>
      <c r="AL124" s="1113">
        <v>12.137544555746896</v>
      </c>
      <c r="AM124" s="1113">
        <v>8.7910890003514268</v>
      </c>
      <c r="AN124" s="1113">
        <v>10.783927628476446</v>
      </c>
      <c r="AO124" s="903"/>
      <c r="AP124" s="1113">
        <v>41.409952606635073</v>
      </c>
      <c r="AQ124" s="1113">
        <v>39.158767772511851</v>
      </c>
      <c r="AR124" s="1113">
        <v>39.487065560821492</v>
      </c>
      <c r="BE124" s="926"/>
    </row>
    <row r="125" spans="17:57" ht="13.5" thickBot="1" x14ac:dyDescent="0.25">
      <c r="Q125" s="1387"/>
      <c r="R125" s="1114" t="s">
        <v>115</v>
      </c>
      <c r="S125" s="1114"/>
      <c r="T125" s="1119">
        <v>3.8898519053089366E-2</v>
      </c>
      <c r="U125" s="1119">
        <v>3.4129999999999998</v>
      </c>
      <c r="V125" s="1119">
        <v>1.1397163508083612E-2</v>
      </c>
      <c r="W125" s="1119">
        <v>39.10837436871671</v>
      </c>
      <c r="X125" s="1119">
        <v>11.397163508083612</v>
      </c>
      <c r="Y125" s="1120"/>
      <c r="Z125" s="1120"/>
      <c r="AA125" s="1118">
        <v>3.8898519053089366E-2</v>
      </c>
      <c r="AB125" s="1118">
        <v>3.4129999999999998</v>
      </c>
      <c r="AC125" s="1118">
        <v>1.1397163508083612E-2</v>
      </c>
      <c r="AD125" s="1118">
        <v>39.10837436871671</v>
      </c>
      <c r="AE125" s="1118">
        <v>11.397163508083612</v>
      </c>
      <c r="AF125" s="1118">
        <v>14.700776067881336</v>
      </c>
      <c r="AG125" s="1118">
        <v>0.13980000000000001</v>
      </c>
      <c r="AH125" s="1118">
        <v>0.13220000000000001</v>
      </c>
      <c r="AI125" s="1118">
        <v>0.13347688172043012</v>
      </c>
      <c r="AJ125" s="1119"/>
      <c r="AK125" s="1118">
        <v>14.866114494181055</v>
      </c>
      <c r="AL125" s="1118">
        <v>11.89697929568578</v>
      </c>
      <c r="AM125" s="1118">
        <v>8.8228437485526339</v>
      </c>
      <c r="AN125" s="1118">
        <v>10.611947174597953</v>
      </c>
      <c r="AO125" s="1119"/>
      <c r="AP125" s="1118">
        <v>40.961031350717846</v>
      </c>
      <c r="AQ125" s="1118">
        <v>38.73425139173748</v>
      </c>
      <c r="AR125" s="1118">
        <v>39.10837436871671</v>
      </c>
      <c r="BE125" s="926"/>
    </row>
    <row r="126" spans="17:57" ht="13.5" thickTop="1" x14ac:dyDescent="0.2">
      <c r="Q126" s="1386">
        <v>2016</v>
      </c>
      <c r="R126" s="910" t="s">
        <v>97</v>
      </c>
      <c r="S126" s="910">
        <v>42370</v>
      </c>
      <c r="T126" s="911">
        <v>3.8135955722045554E-2</v>
      </c>
      <c r="U126" s="911">
        <v>3.4710000000000001</v>
      </c>
      <c r="V126" s="911">
        <v>1.0987022679932455E-2</v>
      </c>
      <c r="W126" s="911">
        <v>40.268882659183028</v>
      </c>
      <c r="X126" s="911">
        <v>10.987022679932455</v>
      </c>
      <c r="AA126" s="1113">
        <v>3.8135955722045554E-2</v>
      </c>
      <c r="AB126" s="1113">
        <v>3.4710000000000001</v>
      </c>
      <c r="AC126" s="1113">
        <v>1.0987022679932455E-2</v>
      </c>
      <c r="AD126" s="1113">
        <v>40.268882659183028</v>
      </c>
      <c r="AE126" s="1113">
        <v>10.987022679932455</v>
      </c>
      <c r="AF126" s="1113">
        <v>21.414789906174263</v>
      </c>
      <c r="AG126" s="1113">
        <v>0.14666451612903225</v>
      </c>
      <c r="AH126" s="1113">
        <v>0.13870322580645161</v>
      </c>
      <c r="AI126" s="1113">
        <v>0.13977329171002428</v>
      </c>
      <c r="AJ126" s="903"/>
      <c r="AK126" s="1113">
        <v>16.155377762324363</v>
      </c>
      <c r="AL126" s="1113">
        <v>11.087266303990914</v>
      </c>
      <c r="AM126" s="1113">
        <v>8.5946432761521372</v>
      </c>
      <c r="AN126" s="1113">
        <v>10.097069867691195</v>
      </c>
      <c r="AO126" s="903"/>
      <c r="AP126" s="1113">
        <v>42.972316474958177</v>
      </c>
      <c r="AQ126" s="1113">
        <v>40.639679404175681</v>
      </c>
      <c r="AR126" s="1113">
        <v>40.953205892184087</v>
      </c>
      <c r="BE126" s="926"/>
    </row>
    <row r="127" spans="17:57" x14ac:dyDescent="0.2">
      <c r="Q127" s="1386"/>
      <c r="R127" s="910" t="s">
        <v>102</v>
      </c>
      <c r="S127" s="910"/>
      <c r="T127" s="911">
        <v>4.382222958791656E-2</v>
      </c>
      <c r="U127" s="911">
        <v>3.5270000000000001</v>
      </c>
      <c r="V127" s="911">
        <v>1.2424788655490944E-2</v>
      </c>
      <c r="W127" s="911">
        <v>39.86586236226939</v>
      </c>
      <c r="X127" s="911">
        <v>12.424788655490943</v>
      </c>
      <c r="AA127" s="1113">
        <v>4.382222958791656E-2</v>
      </c>
      <c r="AB127" s="1113">
        <v>3.5270000000000001</v>
      </c>
      <c r="AC127" s="1113">
        <v>1.2424788655490944E-2</v>
      </c>
      <c r="AD127" s="1113">
        <v>39.86586236226939</v>
      </c>
      <c r="AE127" s="1113">
        <v>12.424788655490943</v>
      </c>
      <c r="AF127" s="1113">
        <v>21.414789906174263</v>
      </c>
      <c r="AG127" s="1113">
        <v>0.14740000000000003</v>
      </c>
      <c r="AH127" s="1113">
        <v>0.1394</v>
      </c>
      <c r="AI127" s="1113">
        <v>0.14060689655172415</v>
      </c>
      <c r="AJ127" s="903"/>
      <c r="AK127" s="1113">
        <v>17.073034072317505</v>
      </c>
      <c r="AL127" s="1113">
        <v>16.019431095990612</v>
      </c>
      <c r="AM127" s="1113">
        <v>4.8219819927188805</v>
      </c>
      <c r="AN127" s="1113">
        <v>11.516942370832371</v>
      </c>
      <c r="AO127" s="903"/>
      <c r="AP127" s="1113">
        <v>42.466148084125621</v>
      </c>
      <c r="AQ127" s="1113">
        <v>40.161336790550273</v>
      </c>
      <c r="AR127" s="1113">
        <v>40.509045390874142</v>
      </c>
      <c r="BE127" s="926"/>
    </row>
    <row r="128" spans="17:57" x14ac:dyDescent="0.2">
      <c r="Q128" s="1386"/>
      <c r="R128" s="910" t="s">
        <v>106</v>
      </c>
      <c r="S128" s="910">
        <v>42430</v>
      </c>
      <c r="T128" s="911">
        <v>4.1144836515103748E-2</v>
      </c>
      <c r="U128" s="911">
        <v>3.3279999999999998</v>
      </c>
      <c r="V128" s="911">
        <v>1.2363232125932617E-2</v>
      </c>
      <c r="W128" s="911">
        <v>42.226271712158812</v>
      </c>
      <c r="X128" s="911">
        <v>12.363232125932617</v>
      </c>
      <c r="AA128" s="1113">
        <v>4.1144836515103748E-2</v>
      </c>
      <c r="AB128" s="1113">
        <v>3.3279999999999998</v>
      </c>
      <c r="AC128" s="1113">
        <v>1.2363232125932617E-2</v>
      </c>
      <c r="AD128" s="1113">
        <v>42.226271712158812</v>
      </c>
      <c r="AE128" s="1113">
        <v>12.363232125932617</v>
      </c>
      <c r="AF128" s="1113">
        <v>21.414789906174263</v>
      </c>
      <c r="AG128" s="1113">
        <v>0.1474</v>
      </c>
      <c r="AH128" s="1113">
        <v>0.1394</v>
      </c>
      <c r="AI128" s="1113">
        <v>0.14052903225806451</v>
      </c>
      <c r="AJ128" s="903"/>
      <c r="AK128" s="1113">
        <v>22.203448218999714</v>
      </c>
      <c r="AL128" s="1113">
        <v>14.472979296603683</v>
      </c>
      <c r="AM128" s="1113">
        <v>4.6416693250463883</v>
      </c>
      <c r="AN128" s="1113">
        <v>10.555245719156304</v>
      </c>
      <c r="AO128" s="903"/>
      <c r="AP128" s="1113">
        <v>41.79189112560249</v>
      </c>
      <c r="AQ128" s="1113">
        <v>39.523674510915789</v>
      </c>
      <c r="AR128" s="1113">
        <v>39.843785726698187</v>
      </c>
      <c r="BE128" s="926"/>
    </row>
    <row r="129" spans="17:57" x14ac:dyDescent="0.2">
      <c r="Q129" s="1386"/>
      <c r="R129" s="910" t="s">
        <v>107</v>
      </c>
      <c r="S129" s="910"/>
      <c r="T129" s="911">
        <v>4.3412105651441581E-2</v>
      </c>
      <c r="U129" s="911">
        <v>3.274</v>
      </c>
      <c r="V129" s="911">
        <v>1.3259653528235058E-2</v>
      </c>
      <c r="W129" s="911">
        <v>40.275211260435746</v>
      </c>
      <c r="X129" s="911">
        <v>13.259653528235058</v>
      </c>
      <c r="AA129" s="1113">
        <v>4.3412105651441581E-2</v>
      </c>
      <c r="AB129" s="1113">
        <v>3.274</v>
      </c>
      <c r="AC129" s="1113">
        <v>1.3259653528235058E-2</v>
      </c>
      <c r="AD129" s="1113">
        <v>40.275211260435746</v>
      </c>
      <c r="AE129" s="1113">
        <v>13.259653528235058</v>
      </c>
      <c r="AF129" s="1113">
        <v>21.414789906174263</v>
      </c>
      <c r="AG129" s="1113">
        <v>0.13830999999999999</v>
      </c>
      <c r="AH129" s="1113">
        <v>0.13075999999999999</v>
      </c>
      <c r="AI129" s="1113">
        <v>0.13186104166666665</v>
      </c>
      <c r="AJ129" s="903"/>
      <c r="AK129" s="1113">
        <v>24.299114120124607</v>
      </c>
      <c r="AL129" s="1113">
        <v>14.649703892110384</v>
      </c>
      <c r="AM129" s="1113">
        <v>5.9939071481029886</v>
      </c>
      <c r="AN129" s="1113">
        <v>11.16531173395637</v>
      </c>
      <c r="AO129" s="903"/>
      <c r="AP129" s="1113">
        <v>41.559495192307693</v>
      </c>
      <c r="AQ129" s="1113">
        <v>39.29086538461538</v>
      </c>
      <c r="AR129" s="1113">
        <v>39.621707231570511</v>
      </c>
      <c r="BE129" s="926"/>
    </row>
    <row r="130" spans="17:57" x14ac:dyDescent="0.2">
      <c r="Q130" s="1386"/>
      <c r="R130" s="910" t="s">
        <v>108</v>
      </c>
      <c r="S130" s="910">
        <v>42491</v>
      </c>
      <c r="T130" s="911">
        <v>6.7154200270314157E-2</v>
      </c>
      <c r="U130" s="911">
        <v>3.3740000000000001</v>
      </c>
      <c r="V130" s="911">
        <v>1.9903438135837035E-2</v>
      </c>
      <c r="W130" s="911">
        <v>43.954082770840898</v>
      </c>
      <c r="X130" s="911">
        <v>19.903438135837035</v>
      </c>
      <c r="AA130" s="1113">
        <v>6.7154200270314157E-2</v>
      </c>
      <c r="AB130" s="1113">
        <v>3.3740000000000001</v>
      </c>
      <c r="AC130" s="1113">
        <v>1.9903438135837035E-2</v>
      </c>
      <c r="AD130" s="1113">
        <v>43.954082770840898</v>
      </c>
      <c r="AE130" s="1113">
        <v>19.903438135837035</v>
      </c>
      <c r="AF130" s="1113">
        <v>21.414789906174263</v>
      </c>
      <c r="AG130" s="1113">
        <v>0.15579999999999999</v>
      </c>
      <c r="AH130" s="1113">
        <v>0.14699999999999999</v>
      </c>
      <c r="AI130" s="1113">
        <v>0.1483010752688172</v>
      </c>
      <c r="AJ130" s="903"/>
      <c r="AK130" s="1113">
        <v>20.673833280979597</v>
      </c>
      <c r="AL130" s="1113">
        <v>20.638724799363249</v>
      </c>
      <c r="AM130" s="1113">
        <v>18.451208188213091</v>
      </c>
      <c r="AN130" s="1113">
        <v>19.75265403381427</v>
      </c>
      <c r="AO130" s="903"/>
      <c r="AP130" s="1113">
        <v>47.587049480757479</v>
      </c>
      <c r="AQ130" s="1113">
        <v>44.899205864386069</v>
      </c>
      <c r="AR130" s="1113">
        <v>45.296602097989371</v>
      </c>
      <c r="BE130" s="926"/>
    </row>
    <row r="131" spans="17:57" x14ac:dyDescent="0.2">
      <c r="Q131" s="1386"/>
      <c r="R131" s="910" t="s">
        <v>109</v>
      </c>
      <c r="S131" s="910"/>
      <c r="T131" s="911">
        <v>0.12778609750124695</v>
      </c>
      <c r="U131" s="911">
        <v>3.2919999999999998</v>
      </c>
      <c r="V131" s="911">
        <v>3.881716205991706E-2</v>
      </c>
      <c r="W131" s="911">
        <v>45.043539894694213</v>
      </c>
      <c r="X131" s="911">
        <v>38.817162059917059</v>
      </c>
      <c r="AA131" s="1113">
        <v>0.12778609750124695</v>
      </c>
      <c r="AB131" s="1113">
        <v>3.2919999999999998</v>
      </c>
      <c r="AC131" s="1113">
        <v>3.881716205991706E-2</v>
      </c>
      <c r="AD131" s="1113">
        <v>45.043539894694213</v>
      </c>
      <c r="AE131" s="1113">
        <v>38.817162059917059</v>
      </c>
      <c r="AF131" s="1113">
        <v>21.414789906174263</v>
      </c>
      <c r="AG131" s="1113">
        <v>0.15579999999999999</v>
      </c>
      <c r="AH131" s="1113">
        <v>0.14699999999999999</v>
      </c>
      <c r="AI131" s="1113">
        <v>0.14828333333333332</v>
      </c>
      <c r="AJ131" s="903"/>
      <c r="AK131" s="1113">
        <v>44.558349826537871</v>
      </c>
      <c r="AL131" s="1113">
        <v>40.076543542434223</v>
      </c>
      <c r="AM131" s="1113">
        <v>34.268143984541609</v>
      </c>
      <c r="AN131" s="1113">
        <v>37.710588787936032</v>
      </c>
      <c r="AO131" s="903"/>
      <c r="AP131" s="1113">
        <v>46.176644931831646</v>
      </c>
      <c r="AQ131" s="1113">
        <v>43.568464730290451</v>
      </c>
      <c r="AR131" s="1113">
        <v>43.948824343015211</v>
      </c>
      <c r="BE131" s="926"/>
    </row>
    <row r="132" spans="17:57" x14ac:dyDescent="0.2">
      <c r="Q132" s="1386"/>
      <c r="R132" s="910" t="s">
        <v>110</v>
      </c>
      <c r="S132" s="910">
        <v>42552</v>
      </c>
      <c r="T132" s="911">
        <v>0.11469176152549244</v>
      </c>
      <c r="U132" s="911">
        <v>3.36</v>
      </c>
      <c r="V132" s="911">
        <v>3.4134452834967993E-2</v>
      </c>
      <c r="W132" s="911">
        <v>44.084421402969795</v>
      </c>
      <c r="X132" s="911">
        <v>34.134452834967995</v>
      </c>
      <c r="AA132" s="1113">
        <v>0.11469176152549244</v>
      </c>
      <c r="AB132" s="1113">
        <v>3.36</v>
      </c>
      <c r="AC132" s="1113">
        <v>3.4134452834967993E-2</v>
      </c>
      <c r="AD132" s="1113">
        <v>44.084421402969795</v>
      </c>
      <c r="AE132" s="1113">
        <v>34.134452834967995</v>
      </c>
      <c r="AF132" s="1113">
        <v>21.414789906174263</v>
      </c>
      <c r="AG132" s="1113">
        <v>0.15579999999999999</v>
      </c>
      <c r="AH132" s="1113">
        <v>0.14699999999999999</v>
      </c>
      <c r="AI132" s="1113">
        <v>0.1481236559139785</v>
      </c>
      <c r="AJ132" s="903"/>
      <c r="AK132" s="1113">
        <v>39.01373912743766</v>
      </c>
      <c r="AL132" s="1113">
        <v>35.057856141832822</v>
      </c>
      <c r="AM132" s="1113">
        <v>30.710398618885723</v>
      </c>
      <c r="AN132" s="1113">
        <v>33.326595232059283</v>
      </c>
      <c r="AO132" s="903"/>
      <c r="AP132" s="1113">
        <v>47.326852976913734</v>
      </c>
      <c r="AQ132" s="1113">
        <v>44.653705953827462</v>
      </c>
      <c r="AR132" s="1113">
        <v>44.995035210807572</v>
      </c>
      <c r="BE132" s="926"/>
    </row>
    <row r="133" spans="17:57" x14ac:dyDescent="0.2">
      <c r="Q133" s="1386"/>
      <c r="R133" s="910" t="s">
        <v>111</v>
      </c>
      <c r="S133" s="910"/>
      <c r="T133" s="911">
        <v>6.4254716619601165E-2</v>
      </c>
      <c r="U133" s="911">
        <v>3.395</v>
      </c>
      <c r="V133" s="911">
        <v>1.8926278827570298E-2</v>
      </c>
      <c r="W133" s="911">
        <v>43.682201846485178</v>
      </c>
      <c r="X133" s="911">
        <v>18.926278827570297</v>
      </c>
      <c r="AA133" s="1113">
        <v>6.4254716619601165E-2</v>
      </c>
      <c r="AB133" s="1113">
        <v>3.395</v>
      </c>
      <c r="AC133" s="1113">
        <v>1.8926278827570298E-2</v>
      </c>
      <c r="AD133" s="1113">
        <v>43.682201846485178</v>
      </c>
      <c r="AE133" s="1113">
        <v>18.926278827570297</v>
      </c>
      <c r="AF133" s="1113">
        <v>21.414789906174263</v>
      </c>
      <c r="AG133" s="1113">
        <v>0.15579999999999999</v>
      </c>
      <c r="AH133" s="1113">
        <v>0.14699999999999999</v>
      </c>
      <c r="AI133" s="1113">
        <v>0.1483010752688172</v>
      </c>
      <c r="AJ133" s="903"/>
      <c r="AK133" s="1113">
        <v>22.552961184935924</v>
      </c>
      <c r="AL133" s="1113">
        <v>18.652812273980128</v>
      </c>
      <c r="AM133" s="1113">
        <v>17.593396050542705</v>
      </c>
      <c r="AN133" s="1113">
        <v>18.223273086217429</v>
      </c>
      <c r="AO133" s="903"/>
      <c r="AP133" s="1113">
        <v>46.36904761904762</v>
      </c>
      <c r="AQ133" s="1113">
        <v>43.75</v>
      </c>
      <c r="AR133" s="1113">
        <v>44.13722478238607</v>
      </c>
      <c r="BE133" s="926"/>
    </row>
    <row r="134" spans="17:57" x14ac:dyDescent="0.2">
      <c r="Q134" s="1386"/>
      <c r="R134" s="910" t="s">
        <v>112</v>
      </c>
      <c r="S134" s="910">
        <v>42614</v>
      </c>
      <c r="T134" s="911">
        <v>9.3782499595506497E-2</v>
      </c>
      <c r="U134" s="911">
        <v>3.403</v>
      </c>
      <c r="V134" s="911">
        <v>2.7558771553190271E-2</v>
      </c>
      <c r="W134" s="911">
        <v>43.592255199660428</v>
      </c>
      <c r="X134" s="911">
        <v>27.558771553190272</v>
      </c>
      <c r="AA134" s="1113">
        <v>9.3782499595506497E-2</v>
      </c>
      <c r="AB134" s="1113">
        <v>3.403</v>
      </c>
      <c r="AC134" s="1113">
        <v>2.7558771553190271E-2</v>
      </c>
      <c r="AD134" s="1113">
        <v>43.592255199660428</v>
      </c>
      <c r="AE134" s="1113">
        <v>27.558771553190272</v>
      </c>
      <c r="AF134" s="1113">
        <v>21.414789906174263</v>
      </c>
      <c r="AG134" s="1113">
        <v>0.15579999999999999</v>
      </c>
      <c r="AH134" s="1113">
        <v>0.14699999999999999</v>
      </c>
      <c r="AI134" s="1113">
        <v>0.14834444444444445</v>
      </c>
      <c r="AJ134" s="903"/>
      <c r="AK134" s="1113">
        <v>29.520519501886167</v>
      </c>
      <c r="AL134" s="1113">
        <v>27.419752928156285</v>
      </c>
      <c r="AM134" s="1113">
        <v>26.796080011681898</v>
      </c>
      <c r="AN134" s="1113">
        <v>27.16380110069575</v>
      </c>
      <c r="AO134" s="903"/>
      <c r="AP134" s="1113">
        <v>45.891016200294551</v>
      </c>
      <c r="AQ134" s="1113">
        <v>43.298969072164944</v>
      </c>
      <c r="AR134" s="1113">
        <v>43.694976272295861</v>
      </c>
      <c r="BE134" s="926"/>
    </row>
    <row r="135" spans="17:57" x14ac:dyDescent="0.2">
      <c r="Q135" s="1386"/>
      <c r="R135" s="910" t="s">
        <v>113</v>
      </c>
      <c r="S135" s="910"/>
      <c r="T135" s="911">
        <v>6.0322324125731137E-2</v>
      </c>
      <c r="U135" s="911">
        <v>3.3650000000000002</v>
      </c>
      <c r="V135" s="911">
        <v>1.7926396471242535E-2</v>
      </c>
      <c r="W135" s="911">
        <v>44.054067008579779</v>
      </c>
      <c r="X135" s="911">
        <v>17.926396471242537</v>
      </c>
      <c r="AA135" s="1113">
        <v>6.0322324125731137E-2</v>
      </c>
      <c r="AB135" s="1113">
        <v>3.3650000000000002</v>
      </c>
      <c r="AC135" s="1113">
        <v>1.7926396471242535E-2</v>
      </c>
      <c r="AD135" s="1113">
        <v>44.054067008579779</v>
      </c>
      <c r="AE135" s="1113">
        <v>17.926396471242537</v>
      </c>
      <c r="AF135" s="1113">
        <v>21.414789906174263</v>
      </c>
      <c r="AG135" s="1113">
        <v>0.15579999999999999</v>
      </c>
      <c r="AH135" s="1113">
        <v>0.14699999999999999</v>
      </c>
      <c r="AI135" s="1113">
        <v>0.14824193548387096</v>
      </c>
      <c r="AJ135" s="903"/>
      <c r="AK135" s="1113">
        <v>19.020035464713295</v>
      </c>
      <c r="AL135" s="1113">
        <v>18.329724474935379</v>
      </c>
      <c r="AM135" s="1113">
        <v>16.836779720610799</v>
      </c>
      <c r="AN135" s="1113">
        <v>17.726387019104337</v>
      </c>
      <c r="AO135" s="903"/>
      <c r="AP135" s="1113">
        <v>45.783132530120483</v>
      </c>
      <c r="AQ135" s="1113">
        <v>43.1971789597414</v>
      </c>
      <c r="AR135" s="1113">
        <v>43.562132084593287</v>
      </c>
      <c r="BE135" s="926"/>
    </row>
    <row r="136" spans="17:57" x14ac:dyDescent="0.2">
      <c r="Q136" s="1386"/>
      <c r="R136" s="910" t="s">
        <v>114</v>
      </c>
      <c r="S136" s="910">
        <v>42675</v>
      </c>
      <c r="T136" s="911">
        <v>9.4191685535423425E-2</v>
      </c>
      <c r="U136" s="911">
        <v>3.4129999999999998</v>
      </c>
      <c r="V136" s="911">
        <v>2.759791548063974E-2</v>
      </c>
      <c r="W136" s="911">
        <v>43.446625647035845</v>
      </c>
      <c r="X136" s="911">
        <v>27.597915480639742</v>
      </c>
      <c r="AA136" s="1113">
        <v>9.4191685535423425E-2</v>
      </c>
      <c r="AB136" s="1113">
        <v>3.4129999999999998</v>
      </c>
      <c r="AC136" s="1113">
        <v>2.759791548063974E-2</v>
      </c>
      <c r="AD136" s="1113">
        <v>43.446625647035845</v>
      </c>
      <c r="AE136" s="1113">
        <v>27.597915480639742</v>
      </c>
      <c r="AF136" s="1113">
        <v>21.414789906174263</v>
      </c>
      <c r="AG136" s="1113">
        <v>0.15579999999999999</v>
      </c>
      <c r="AH136" s="1113">
        <v>0.14699999999999999</v>
      </c>
      <c r="AI136" s="1113">
        <v>0.14828333333333332</v>
      </c>
      <c r="AJ136" s="903"/>
      <c r="AK136" s="1113">
        <v>29.481949875112438</v>
      </c>
      <c r="AL136" s="1113">
        <v>27.469723761469453</v>
      </c>
      <c r="AM136" s="1113">
        <v>26.905762337214352</v>
      </c>
      <c r="AN136" s="1113">
        <v>27.240158131329878</v>
      </c>
      <c r="AO136" s="903"/>
      <c r="AP136" s="1113">
        <v>46.300148588410096</v>
      </c>
      <c r="AQ136" s="1113">
        <v>43.684992570579489</v>
      </c>
      <c r="AR136" s="1113">
        <v>44.066369489846451</v>
      </c>
      <c r="BE136" s="926"/>
    </row>
    <row r="137" spans="17:57" ht="13.5" thickBot="1" x14ac:dyDescent="0.25">
      <c r="Q137" s="1387"/>
      <c r="R137" s="1114" t="s">
        <v>115</v>
      </c>
      <c r="S137" s="1114"/>
      <c r="T137" s="1115">
        <v>7.754331151101429E-2</v>
      </c>
      <c r="U137" s="1115">
        <v>3.36</v>
      </c>
      <c r="V137" s="1115">
        <v>2.3078366521135207E-2</v>
      </c>
      <c r="W137" s="1115">
        <v>44.119623655913983</v>
      </c>
      <c r="X137" s="1115">
        <v>23.078366521135209</v>
      </c>
      <c r="Y137" s="1120"/>
      <c r="Z137" s="1120"/>
      <c r="AA137" s="1118">
        <v>7.754331151101429E-2</v>
      </c>
      <c r="AB137" s="1118">
        <v>3.36</v>
      </c>
      <c r="AC137" s="1118">
        <v>2.3078366521135207E-2</v>
      </c>
      <c r="AD137" s="1118">
        <v>44.119623655913983</v>
      </c>
      <c r="AE137" s="1118">
        <v>23.078366521135209</v>
      </c>
      <c r="AF137" s="1118">
        <v>21.414789906174263</v>
      </c>
      <c r="AG137" s="1118">
        <v>0.15579999999999999</v>
      </c>
      <c r="AH137" s="1118">
        <v>0.14699999999999999</v>
      </c>
      <c r="AI137" s="1118">
        <v>0.14824193548387096</v>
      </c>
      <c r="AJ137" s="1119"/>
      <c r="AK137" s="1118">
        <v>25.989187777023204</v>
      </c>
      <c r="AL137" s="1118">
        <v>22.249330937694907</v>
      </c>
      <c r="AM137" s="1118">
        <v>22.989270058932604</v>
      </c>
      <c r="AN137" s="1118">
        <v>22.548876577559735</v>
      </c>
      <c r="AO137" s="1119"/>
      <c r="AP137" s="1118">
        <v>45.648989159097567</v>
      </c>
      <c r="AQ137" s="1118">
        <v>43.070612364488717</v>
      </c>
      <c r="AR137" s="1118">
        <v>43.434496186308522</v>
      </c>
      <c r="BE137" s="926"/>
    </row>
    <row r="138" spans="17:57" ht="13.5" thickTop="1" x14ac:dyDescent="0.2">
      <c r="Q138" s="1388">
        <v>2017</v>
      </c>
      <c r="R138" s="1116" t="s">
        <v>97</v>
      </c>
      <c r="S138" s="1116">
        <v>42736</v>
      </c>
      <c r="T138" s="1117">
        <v>2.7336275163843571E-2</v>
      </c>
      <c r="U138" s="1117">
        <v>3.2869999999999999</v>
      </c>
      <c r="V138" s="1117">
        <v>8.3164816440047373E-3</v>
      </c>
      <c r="W138" s="1117">
        <v>45.117455208036873</v>
      </c>
      <c r="X138" s="911">
        <v>8.3164816440047371</v>
      </c>
      <c r="AA138" s="1113">
        <v>2.7336275163843571E-2</v>
      </c>
      <c r="AB138" s="1113">
        <v>3.2869999999999999</v>
      </c>
      <c r="AC138" s="1113">
        <v>8.3164816440047373E-3</v>
      </c>
      <c r="AD138" s="1113">
        <v>45.117455208036873</v>
      </c>
      <c r="AE138" s="1113">
        <v>8.3164816440047371</v>
      </c>
      <c r="AF138" s="1113">
        <v>9.5305287045451603</v>
      </c>
      <c r="AG138" s="1113">
        <v>0.15579999999999999</v>
      </c>
      <c r="AH138" s="1113">
        <v>0.14699999999999999</v>
      </c>
      <c r="AI138" s="1113">
        <v>0.1483010752688172</v>
      </c>
      <c r="AJ138" s="903"/>
      <c r="AK138" s="1113">
        <v>16.212425602655792</v>
      </c>
      <c r="AL138" s="1113">
        <v>9.5595180454956612</v>
      </c>
      <c r="AM138" s="1113">
        <v>2.4461116834932026</v>
      </c>
      <c r="AN138" s="1113">
        <v>8.3164816440047371</v>
      </c>
      <c r="AO138" s="903"/>
      <c r="AP138" s="1113">
        <v>47.398843930635834</v>
      </c>
      <c r="AQ138" s="1113">
        <v>44.721630666261021</v>
      </c>
      <c r="AR138" s="1113">
        <v>45.117455208036873</v>
      </c>
    </row>
    <row r="139" spans="17:57" x14ac:dyDescent="0.2">
      <c r="Q139" s="1386"/>
      <c r="R139" s="910" t="s">
        <v>102</v>
      </c>
      <c r="S139" s="910"/>
      <c r="T139" s="911">
        <v>2.7788818578422456E-2</v>
      </c>
      <c r="U139" s="911">
        <v>3.2629999999999999</v>
      </c>
      <c r="V139" s="911">
        <v>8.516340355017608E-3</v>
      </c>
      <c r="W139" s="911">
        <v>45.451892065437868</v>
      </c>
      <c r="X139" s="911">
        <v>8.5163403550176078</v>
      </c>
      <c r="AA139" s="1113">
        <v>2.7788818578422456E-2</v>
      </c>
      <c r="AB139" s="1113">
        <v>3.2629999999999999</v>
      </c>
      <c r="AC139" s="1113">
        <v>8.516340355017608E-3</v>
      </c>
      <c r="AD139" s="1113">
        <v>45.451892065437868</v>
      </c>
      <c r="AE139" s="1113">
        <v>8.5163403550176078</v>
      </c>
      <c r="AF139" s="1113">
        <v>9.5305287045451603</v>
      </c>
      <c r="AG139" s="1113">
        <v>0.15579999999999999</v>
      </c>
      <c r="AH139" s="1113">
        <v>0.14699999999999999</v>
      </c>
      <c r="AI139" s="1113">
        <v>0.14830952380952378</v>
      </c>
      <c r="AJ139" s="903"/>
      <c r="AK139" s="1113">
        <v>11.182884555287796</v>
      </c>
      <c r="AL139" s="1113">
        <v>11.887719109592048</v>
      </c>
      <c r="AM139" s="1113">
        <v>1.4771844030855066</v>
      </c>
      <c r="AN139" s="1113">
        <v>8.5163403550176078</v>
      </c>
      <c r="AO139" s="903"/>
      <c r="AP139" s="1113">
        <v>47.74747165185412</v>
      </c>
      <c r="AQ139" s="1113">
        <v>45.050566962917557</v>
      </c>
      <c r="AR139" s="1113">
        <v>45.451892065437875</v>
      </c>
    </row>
    <row r="140" spans="17:57" x14ac:dyDescent="0.2">
      <c r="Q140" s="1386"/>
      <c r="R140" s="910" t="s">
        <v>106</v>
      </c>
      <c r="S140" s="910">
        <v>42795</v>
      </c>
      <c r="T140" s="911">
        <v>3.3056582781518462E-2</v>
      </c>
      <c r="U140" s="911">
        <v>3.2490000000000001</v>
      </c>
      <c r="V140" s="911">
        <v>1.0174386821027535E-2</v>
      </c>
      <c r="W140" s="911">
        <v>45.663347200296528</v>
      </c>
      <c r="X140" s="911">
        <v>10.174386821027534</v>
      </c>
      <c r="AA140" s="1113">
        <v>3.3056582781518462E-2</v>
      </c>
      <c r="AB140" s="1113">
        <v>3.2490000000000001</v>
      </c>
      <c r="AC140" s="1113">
        <v>1.0174386821027535E-2</v>
      </c>
      <c r="AD140" s="1113">
        <v>45.663347200296528</v>
      </c>
      <c r="AE140" s="1113">
        <v>10.174386821027534</v>
      </c>
      <c r="AF140" s="1113">
        <v>9.5305287045451603</v>
      </c>
      <c r="AG140" s="1113">
        <v>0.15579999999999999</v>
      </c>
      <c r="AH140" s="1113">
        <v>0.14699999999999999</v>
      </c>
      <c r="AI140" s="1113">
        <v>0.14836021505376343</v>
      </c>
      <c r="AJ140" s="903"/>
      <c r="AK140" s="1113">
        <v>19.555873750130658</v>
      </c>
      <c r="AL140" s="1113">
        <v>13.364613614440268</v>
      </c>
      <c r="AM140" s="1113">
        <v>1.6613373329585603</v>
      </c>
      <c r="AN140" s="1113">
        <v>10.174386821027534</v>
      </c>
      <c r="AO140" s="903"/>
      <c r="AP140" s="1113">
        <v>47.953216374269005</v>
      </c>
      <c r="AQ140" s="1113">
        <v>45.244690674053551</v>
      </c>
      <c r="AR140" s="1113">
        <v>45.663347200296528</v>
      </c>
    </row>
    <row r="141" spans="17:57" x14ac:dyDescent="0.2">
      <c r="Q141" s="1386"/>
      <c r="R141" s="910" t="s">
        <v>107</v>
      </c>
      <c r="S141" s="910"/>
      <c r="T141" s="911">
        <v>2.3736109027777372E-2</v>
      </c>
      <c r="U141" s="911">
        <v>3.246</v>
      </c>
      <c r="V141" s="911">
        <v>7.3124180615457097E-3</v>
      </c>
      <c r="W141" s="911">
        <v>45.625385089340725</v>
      </c>
      <c r="X141" s="911">
        <v>7.3124180615457099</v>
      </c>
      <c r="AA141" s="1113">
        <v>2.3736109027777372E-2</v>
      </c>
      <c r="AB141" s="1113">
        <v>3.246</v>
      </c>
      <c r="AC141" s="1113">
        <v>7.3124180615457097E-3</v>
      </c>
      <c r="AD141" s="1113">
        <v>45.625385089340725</v>
      </c>
      <c r="AE141" s="1113">
        <v>7.3124180615457099</v>
      </c>
      <c r="AF141" s="1113">
        <v>9.5305287045451603</v>
      </c>
      <c r="AG141" s="1113">
        <v>0.15579999999999999</v>
      </c>
      <c r="AH141" s="1113">
        <v>0.14699999999999999</v>
      </c>
      <c r="AI141" s="1113">
        <v>0.14809999999999998</v>
      </c>
      <c r="AJ141" s="903"/>
      <c r="AK141" s="1113">
        <v>19.104935989594019</v>
      </c>
      <c r="AL141" s="1113">
        <v>8.918993034161744</v>
      </c>
      <c r="AM141" s="1113">
        <v>1.2394787887086063</v>
      </c>
      <c r="AN141" s="1113">
        <v>7.3124180615457099</v>
      </c>
      <c r="AO141" s="903"/>
      <c r="AP141" s="1113">
        <v>47.997535428219344</v>
      </c>
      <c r="AQ141" s="1113">
        <v>45.286506469500921</v>
      </c>
      <c r="AR141" s="1113">
        <v>45.625385089340718</v>
      </c>
    </row>
    <row r="142" spans="17:57" x14ac:dyDescent="0.2">
      <c r="Q142" s="1386"/>
      <c r="R142" s="910" t="s">
        <v>108</v>
      </c>
      <c r="S142" s="910">
        <v>42856</v>
      </c>
      <c r="T142" s="911">
        <v>1.9704618729502712E-2</v>
      </c>
      <c r="U142" s="911">
        <v>3.2719999999999998</v>
      </c>
      <c r="V142" s="911">
        <v>6.0221939882343254E-3</v>
      </c>
      <c r="W142" s="911">
        <v>42.735116465546703</v>
      </c>
      <c r="X142" s="911">
        <v>6.0221939882343252</v>
      </c>
      <c r="AA142" s="1113">
        <v>1.9704618729502712E-2</v>
      </c>
      <c r="AB142" s="1113">
        <v>3.2719999999999998</v>
      </c>
      <c r="AC142" s="1113">
        <v>6.0221939882343254E-3</v>
      </c>
      <c r="AD142" s="1113">
        <v>42.735116465546703</v>
      </c>
      <c r="AE142" s="1113">
        <v>6.0221939882343252</v>
      </c>
      <c r="AF142" s="1113">
        <v>9.5305287045451603</v>
      </c>
      <c r="AG142" s="1113">
        <v>0.14710000000000001</v>
      </c>
      <c r="AH142" s="1113">
        <v>0.13849999999999998</v>
      </c>
      <c r="AI142" s="1113">
        <v>0.13982930107526881</v>
      </c>
      <c r="AJ142" s="903"/>
      <c r="AK142" s="1113">
        <v>9.3692237663442004</v>
      </c>
      <c r="AL142" s="1113">
        <v>6.3418881565665606</v>
      </c>
      <c r="AM142" s="1113">
        <v>4.2415438685249347</v>
      </c>
      <c r="AN142" s="1113">
        <v>6.0221939882343252</v>
      </c>
      <c r="AO142" s="903"/>
      <c r="AP142" s="1113">
        <v>44.957212713936435</v>
      </c>
      <c r="AQ142" s="1113">
        <v>42.328850855745721</v>
      </c>
      <c r="AR142" s="1113">
        <v>42.735116465546703</v>
      </c>
    </row>
    <row r="143" spans="17:57" x14ac:dyDescent="0.2">
      <c r="Q143" s="1386"/>
      <c r="R143" s="910" t="s">
        <v>109</v>
      </c>
      <c r="S143" s="910"/>
      <c r="T143" s="911">
        <v>3.5865307745069269E-2</v>
      </c>
      <c r="U143" s="911">
        <v>3.2549999999999999</v>
      </c>
      <c r="V143" s="911">
        <v>1.1018527725059684E-2</v>
      </c>
      <c r="W143" s="911">
        <v>42.953575695511176</v>
      </c>
      <c r="X143" s="911">
        <v>11.018527725059684</v>
      </c>
      <c r="AA143" s="1113">
        <v>3.5865307745069269E-2</v>
      </c>
      <c r="AB143" s="1113">
        <v>3.2549999999999999</v>
      </c>
      <c r="AC143" s="1113">
        <v>1.1018527725059684E-2</v>
      </c>
      <c r="AD143" s="1113">
        <v>42.953575695511176</v>
      </c>
      <c r="AE143" s="1113">
        <v>11.018527725059684</v>
      </c>
      <c r="AF143" s="1113">
        <v>9.5305287045451603</v>
      </c>
      <c r="AG143" s="1113">
        <v>0.14710000000000001</v>
      </c>
      <c r="AH143" s="1113">
        <v>0.13849999999999998</v>
      </c>
      <c r="AI143" s="1113">
        <v>0.13981388888888888</v>
      </c>
      <c r="AJ143" s="903"/>
      <c r="AK143" s="1113">
        <v>12.752188813014945</v>
      </c>
      <c r="AL143" s="1113">
        <v>11.792172244013734</v>
      </c>
      <c r="AM143" s="1113">
        <v>9.3380023320247965</v>
      </c>
      <c r="AN143" s="1113">
        <v>11.018527725059684</v>
      </c>
      <c r="AO143" s="903"/>
      <c r="AP143" s="1113">
        <v>45.192012288786486</v>
      </c>
      <c r="AQ143" s="1113">
        <v>42.549923195084482</v>
      </c>
      <c r="AR143" s="1113">
        <v>42.953575695511176</v>
      </c>
    </row>
    <row r="144" spans="17:57" x14ac:dyDescent="0.2">
      <c r="Q144" s="1386"/>
      <c r="R144" s="910" t="s">
        <v>110</v>
      </c>
      <c r="S144" s="910">
        <v>42917</v>
      </c>
      <c r="T144" s="911">
        <v>3.2403690669018832E-2</v>
      </c>
      <c r="U144" s="911">
        <v>3.242</v>
      </c>
      <c r="V144" s="911">
        <v>9.9949693612026002E-3</v>
      </c>
      <c r="W144" s="911">
        <v>43.059259185555177</v>
      </c>
      <c r="X144" s="911">
        <v>9.9949693612025996</v>
      </c>
      <c r="AA144" s="1113">
        <v>3.2403690669018832E-2</v>
      </c>
      <c r="AB144" s="1113">
        <v>3.242</v>
      </c>
      <c r="AC144" s="1113">
        <v>9.9949693612026002E-3</v>
      </c>
      <c r="AD144" s="1113">
        <v>43.059259185555177</v>
      </c>
      <c r="AE144" s="1113">
        <v>9.9949693612025996</v>
      </c>
      <c r="AF144" s="1113">
        <v>9.5305287045451603</v>
      </c>
      <c r="AG144" s="1113">
        <v>0.14710000000000001</v>
      </c>
      <c r="AH144" s="1113">
        <v>0.13849999999999998</v>
      </c>
      <c r="AI144" s="1113">
        <v>0.13959811827956989</v>
      </c>
      <c r="AJ144" s="903"/>
      <c r="AK144" s="1113">
        <v>11.941244650962698</v>
      </c>
      <c r="AL144" s="1113">
        <v>10.616295535747023</v>
      </c>
      <c r="AM144" s="1113">
        <v>8.508278188770154</v>
      </c>
      <c r="AN144" s="1113">
        <v>9.9949693612025996</v>
      </c>
      <c r="AO144" s="903"/>
      <c r="AP144" s="1113">
        <v>45.373226403454659</v>
      </c>
      <c r="AQ144" s="1113">
        <v>42.720542874768654</v>
      </c>
      <c r="AR144" s="1113">
        <v>43.059259185555177</v>
      </c>
    </row>
    <row r="145" spans="17:44" x14ac:dyDescent="0.2">
      <c r="Q145" s="1386"/>
      <c r="R145" s="910" t="s">
        <v>111</v>
      </c>
      <c r="S145" s="910"/>
      <c r="T145" s="911">
        <v>4.4254336760752654E-2</v>
      </c>
      <c r="U145" s="911">
        <v>3.242</v>
      </c>
      <c r="V145" s="911">
        <v>1.3650319790485088E-2</v>
      </c>
      <c r="W145" s="911">
        <v>43.112740708310952</v>
      </c>
      <c r="X145" s="911">
        <v>13.650319790485089</v>
      </c>
      <c r="AA145" s="1113">
        <v>4.4254336760752654E-2</v>
      </c>
      <c r="AB145" s="1113">
        <v>3.242</v>
      </c>
      <c r="AC145" s="1113">
        <v>1.3650319790485088E-2</v>
      </c>
      <c r="AD145" s="1113">
        <v>43.112740708310952</v>
      </c>
      <c r="AE145" s="1113">
        <v>13.650319790485089</v>
      </c>
      <c r="AF145" s="1113">
        <v>9.5305287045451603</v>
      </c>
      <c r="AG145" s="1113">
        <v>0.14710000000000001</v>
      </c>
      <c r="AH145" s="1113">
        <v>0.13849999999999998</v>
      </c>
      <c r="AI145" s="1113">
        <v>0.13977150537634409</v>
      </c>
      <c r="AJ145" s="903"/>
      <c r="AK145" s="1113">
        <v>15.076535247602475</v>
      </c>
      <c r="AL145" s="1113">
        <v>13.957078746383305</v>
      </c>
      <c r="AM145" s="1113">
        <v>12.697692085729628</v>
      </c>
      <c r="AN145" s="1113">
        <v>13.650319790485089</v>
      </c>
      <c r="AO145" s="903"/>
      <c r="AP145" s="1113">
        <v>45.373226403454659</v>
      </c>
      <c r="AQ145" s="1113">
        <v>42.720542874768654</v>
      </c>
      <c r="AR145" s="1113">
        <v>43.112740708310952</v>
      </c>
    </row>
    <row r="146" spans="17:44" x14ac:dyDescent="0.2">
      <c r="Q146" s="1386"/>
      <c r="R146" s="910" t="s">
        <v>112</v>
      </c>
      <c r="S146" s="910">
        <v>42979</v>
      </c>
      <c r="T146" s="911">
        <v>4.3773382008194563E-2</v>
      </c>
      <c r="U146" s="911">
        <v>3.2669999999999999</v>
      </c>
      <c r="V146" s="911">
        <v>1.3398647691519609E-2</v>
      </c>
      <c r="W146" s="911">
        <v>42.777522701765129</v>
      </c>
      <c r="X146" s="911">
        <v>13.398647691519608</v>
      </c>
      <c r="AA146" s="1113">
        <v>4.3773382008194563E-2</v>
      </c>
      <c r="AB146" s="1113">
        <v>3.2669999999999999</v>
      </c>
      <c r="AC146" s="1113">
        <v>1.3398647691519609E-2</v>
      </c>
      <c r="AD146" s="1113">
        <v>42.777522701765129</v>
      </c>
      <c r="AE146" s="1113">
        <v>13.398647691519608</v>
      </c>
      <c r="AF146" s="1113">
        <v>9.5305287045451603</v>
      </c>
      <c r="AG146" s="1113">
        <v>0.14710000000000001</v>
      </c>
      <c r="AH146" s="1113">
        <v>0.13849999999999998</v>
      </c>
      <c r="AI146" s="1113">
        <v>0.13975416666666665</v>
      </c>
      <c r="AJ146" s="903"/>
      <c r="AK146" s="1113">
        <v>15.183593764338925</v>
      </c>
      <c r="AL146" s="1113">
        <v>13.577406224032176</v>
      </c>
      <c r="AM146" s="1113">
        <v>12.476088316101492</v>
      </c>
      <c r="AN146" s="1113">
        <v>13.398647691519608</v>
      </c>
      <c r="AO146" s="903"/>
      <c r="AP146" s="1113">
        <v>45.026017753290489</v>
      </c>
      <c r="AQ146" s="1113">
        <v>42.393633302724204</v>
      </c>
      <c r="AR146" s="1113">
        <v>42.777522701765122</v>
      </c>
    </row>
    <row r="147" spans="17:44" x14ac:dyDescent="0.2">
      <c r="Q147" s="1386"/>
      <c r="R147" s="910" t="s">
        <v>113</v>
      </c>
      <c r="S147" s="910"/>
      <c r="T147" s="911">
        <v>2.5936721983064574E-2</v>
      </c>
      <c r="U147" s="911">
        <v>3.25</v>
      </c>
      <c r="V147" s="911">
        <v>7.9805298409429456E-3</v>
      </c>
      <c r="W147" s="911">
        <v>43.006617038875106</v>
      </c>
      <c r="X147" s="911">
        <v>7.9805298409429453</v>
      </c>
      <c r="AA147" s="1113">
        <v>2.5936721983064574E-2</v>
      </c>
      <c r="AB147" s="1113">
        <v>3.25</v>
      </c>
      <c r="AC147" s="1113">
        <v>7.9805298409429456E-3</v>
      </c>
      <c r="AD147" s="1113">
        <v>43.006617038875106</v>
      </c>
      <c r="AE147" s="1113">
        <v>7.9805298409429453</v>
      </c>
      <c r="AF147" s="1113">
        <v>9.5305287045451603</v>
      </c>
      <c r="AG147" s="1113">
        <v>0.14710000000000001</v>
      </c>
      <c r="AH147" s="1113">
        <v>0.13849999999999998</v>
      </c>
      <c r="AI147" s="1113">
        <v>0.13977150537634409</v>
      </c>
      <c r="AJ147" s="903"/>
      <c r="AK147" s="1113">
        <v>7.9439350794405623</v>
      </c>
      <c r="AL147" s="1113">
        <v>8.1555300530010726</v>
      </c>
      <c r="AM147" s="1113">
        <v>7.7722873623931639</v>
      </c>
      <c r="AN147" s="1113">
        <v>7.9805298409429453</v>
      </c>
      <c r="AO147" s="903"/>
      <c r="AP147" s="1113">
        <v>45.261538461538464</v>
      </c>
      <c r="AQ147" s="1113">
        <v>42.615384615384613</v>
      </c>
      <c r="AR147" s="1113">
        <v>43.006617038875099</v>
      </c>
    </row>
    <row r="148" spans="17:44" x14ac:dyDescent="0.2">
      <c r="Q148" s="1386"/>
      <c r="R148" s="910" t="s">
        <v>114</v>
      </c>
      <c r="S148" s="910">
        <v>43040</v>
      </c>
      <c r="T148" s="911">
        <v>3.2302845463611195E-2</v>
      </c>
      <c r="U148" s="911">
        <v>3.2349999999999999</v>
      </c>
      <c r="V148" s="911">
        <v>9.9854236363558588E-3</v>
      </c>
      <c r="W148" s="911">
        <v>43.200669757856772</v>
      </c>
      <c r="X148" s="911">
        <v>9.9854236363558577</v>
      </c>
      <c r="AA148" s="1113">
        <v>3.2302845463611195E-2</v>
      </c>
      <c r="AB148" s="1113">
        <v>3.2349999999999999</v>
      </c>
      <c r="AC148" s="1113">
        <v>9.9854236363558588E-3</v>
      </c>
      <c r="AD148" s="1113">
        <v>43.200669757856772</v>
      </c>
      <c r="AE148" s="1113">
        <v>9.9854236363558577</v>
      </c>
      <c r="AF148" s="1113">
        <v>9.5305287045451603</v>
      </c>
      <c r="AG148" s="1113">
        <v>0.14710000000000001</v>
      </c>
      <c r="AH148" s="1113">
        <v>0.13849999999999998</v>
      </c>
      <c r="AI148" s="1113">
        <v>0.13975416666666665</v>
      </c>
      <c r="AJ148" s="903"/>
      <c r="AK148" s="1113">
        <v>9.8959399553985339</v>
      </c>
      <c r="AL148" s="1113">
        <v>10.165045914163471</v>
      </c>
      <c r="AM148" s="1113">
        <v>9.7907054906405691</v>
      </c>
      <c r="AN148" s="1113">
        <v>9.9854236363558577</v>
      </c>
      <c r="AO148" s="903"/>
      <c r="AP148" s="1113">
        <v>45.471406491499231</v>
      </c>
      <c r="AQ148" s="1113">
        <v>42.812982998454402</v>
      </c>
      <c r="AR148" s="1113">
        <v>43.200669757856772</v>
      </c>
    </row>
    <row r="149" spans="17:44" ht="13.5" thickBot="1" x14ac:dyDescent="0.25">
      <c r="Q149" s="1387"/>
      <c r="R149" s="1114" t="s">
        <v>115</v>
      </c>
      <c r="S149" s="1114"/>
      <c r="T149" s="1115">
        <v>2.5947362474529514E-2</v>
      </c>
      <c r="U149" s="1115">
        <v>3.2450000000000001</v>
      </c>
      <c r="V149" s="1115">
        <v>7.9961055391462275E-3</v>
      </c>
      <c r="W149" s="1115">
        <v>43.019450933611672</v>
      </c>
      <c r="X149" s="1115">
        <v>7.996105539146229</v>
      </c>
      <c r="Y149" s="1120"/>
      <c r="Z149" s="1120"/>
      <c r="AA149" s="1118">
        <v>2.5947362474529514E-2</v>
      </c>
      <c r="AB149" s="1118">
        <v>3.2450000000000001</v>
      </c>
      <c r="AC149" s="1118">
        <v>7.9961055391462275E-3</v>
      </c>
      <c r="AD149" s="1118">
        <v>43.019450933611672</v>
      </c>
      <c r="AE149" s="1118">
        <v>7.996105539146229</v>
      </c>
      <c r="AF149" s="1118">
        <v>9.5305287045451603</v>
      </c>
      <c r="AG149" s="1118">
        <v>0.14710000000000001</v>
      </c>
      <c r="AH149" s="1118">
        <v>0.13849999999999998</v>
      </c>
      <c r="AI149" s="1118">
        <v>0.13959811827956989</v>
      </c>
      <c r="AJ149" s="1119"/>
      <c r="AK149" s="1118">
        <v>8.1653083827751267</v>
      </c>
      <c r="AL149" s="1118">
        <v>8.0757673286553171</v>
      </c>
      <c r="AM149" s="1118">
        <v>7.8328470005688304</v>
      </c>
      <c r="AN149" s="1118">
        <v>7.996105539146229</v>
      </c>
      <c r="AO149" s="1119"/>
      <c r="AP149" s="1118">
        <v>45.331278890600927</v>
      </c>
      <c r="AQ149" s="1118">
        <v>42.681047765793522</v>
      </c>
      <c r="AR149" s="1118">
        <v>43.019450933611672</v>
      </c>
    </row>
    <row r="150" spans="17:44" ht="13.5" thickTop="1" x14ac:dyDescent="0.2">
      <c r="Q150" s="1388">
        <v>2018</v>
      </c>
      <c r="R150" s="1116" t="s">
        <v>97</v>
      </c>
      <c r="S150" s="1116">
        <v>43101</v>
      </c>
      <c r="T150" s="1117">
        <v>2.0364916420698913E-2</v>
      </c>
      <c r="U150" s="1117">
        <v>3.2170000000000001</v>
      </c>
      <c r="V150" s="1117">
        <v>6.3304060990671158E-3</v>
      </c>
      <c r="W150" s="1117">
        <v>43.447779103619553</v>
      </c>
      <c r="X150" s="911">
        <v>6.3304060990671163</v>
      </c>
      <c r="AA150" s="1113">
        <v>2.0364916420698913E-2</v>
      </c>
      <c r="AB150" s="1113">
        <v>3.2170000000000001</v>
      </c>
      <c r="AC150" s="1113">
        <v>6.3304060990671158E-3</v>
      </c>
      <c r="AD150" s="1113">
        <v>43.447779103619553</v>
      </c>
      <c r="AE150" s="1113">
        <v>6.3304060990671163</v>
      </c>
      <c r="AF150" s="1113">
        <v>10.761334166222646</v>
      </c>
      <c r="AG150" s="1113">
        <v>0.14710000000000001</v>
      </c>
      <c r="AH150" s="1113">
        <v>0.13849999999999998</v>
      </c>
      <c r="AI150" s="1113">
        <v>0.13977150537634409</v>
      </c>
      <c r="AJ150" s="903"/>
      <c r="AK150" s="1113">
        <v>8.9641216944075506</v>
      </c>
      <c r="AL150" s="1113">
        <v>7.7622156558249209</v>
      </c>
      <c r="AM150" s="1113">
        <v>3.4701870734884062</v>
      </c>
      <c r="AN150" s="1113">
        <v>6.3304060990671163</v>
      </c>
      <c r="AO150" s="903"/>
      <c r="AP150" s="1113">
        <v>45.725831520049731</v>
      </c>
      <c r="AQ150" s="1113">
        <v>43.052533416226296</v>
      </c>
      <c r="AR150" s="1113">
        <v>43.447779103619553</v>
      </c>
    </row>
    <row r="151" spans="17:44" x14ac:dyDescent="0.2">
      <c r="Q151" s="1386"/>
      <c r="R151" s="910" t="s">
        <v>102</v>
      </c>
      <c r="S151" s="910"/>
      <c r="T151" s="911">
        <v>9.6774938229910859E-2</v>
      </c>
      <c r="U151" s="911">
        <v>3.2610000000000001</v>
      </c>
      <c r="V151" s="911">
        <v>2.9676460665412713E-2</v>
      </c>
      <c r="W151" s="911">
        <v>42.864079087630131</v>
      </c>
      <c r="X151" s="911">
        <v>29.676460665412712</v>
      </c>
      <c r="AA151" s="1113">
        <v>9.6774938229910859E-2</v>
      </c>
      <c r="AB151" s="1113">
        <v>3.2610000000000001</v>
      </c>
      <c r="AC151" s="1113">
        <v>2.9676460665412713E-2</v>
      </c>
      <c r="AD151" s="1113">
        <v>42.864079087630131</v>
      </c>
      <c r="AE151" s="1113">
        <v>29.676460665412712</v>
      </c>
      <c r="AF151" s="1113">
        <v>10.761334166222646</v>
      </c>
      <c r="AG151" s="1113">
        <v>0.14710000000000001</v>
      </c>
      <c r="AH151" s="1113">
        <v>0.13849999999999998</v>
      </c>
      <c r="AI151" s="1113">
        <v>0.13977976190476188</v>
      </c>
      <c r="AJ151" s="903"/>
      <c r="AK151" s="1113">
        <v>48.27311261882857</v>
      </c>
      <c r="AL151" s="1113">
        <v>32.9679467025069</v>
      </c>
      <c r="AM151" s="1113">
        <v>18.117172065366063</v>
      </c>
      <c r="AN151" s="1113">
        <v>29.676460665412712</v>
      </c>
      <c r="AO151" s="903"/>
      <c r="AP151" s="1113">
        <v>45.108862312174182</v>
      </c>
      <c r="AQ151" s="1113">
        <v>42.471634467954608</v>
      </c>
      <c r="AR151" s="1113">
        <v>42.864079087630138</v>
      </c>
    </row>
    <row r="152" spans="17:44" x14ac:dyDescent="0.2">
      <c r="Q152" s="1386"/>
      <c r="R152" s="910" t="s">
        <v>106</v>
      </c>
      <c r="S152" s="910">
        <v>43160</v>
      </c>
      <c r="T152" s="911">
        <v>1.7675283661290321E-2</v>
      </c>
      <c r="U152" s="911">
        <v>3.2290000000000001</v>
      </c>
      <c r="V152" s="911">
        <v>5.4739187554321217E-3</v>
      </c>
      <c r="W152" s="911">
        <v>45.279560332045463</v>
      </c>
      <c r="X152" s="911">
        <v>5.4739187554321216</v>
      </c>
      <c r="AA152" s="1113">
        <v>1.7675283661290321E-2</v>
      </c>
      <c r="AB152" s="1113">
        <v>3.2290000000000001</v>
      </c>
      <c r="AC152" s="1113">
        <v>5.4739187554321217E-3</v>
      </c>
      <c r="AD152" s="1113">
        <v>45.279560332045463</v>
      </c>
      <c r="AE152" s="1113">
        <v>5.4739187554321216</v>
      </c>
      <c r="AF152" s="1113">
        <v>10.761334166222646</v>
      </c>
      <c r="AG152" s="1113">
        <v>0.15396451612903225</v>
      </c>
      <c r="AH152" s="1113">
        <v>0.14500322580645161</v>
      </c>
      <c r="AI152" s="1113">
        <v>0.14620770031217481</v>
      </c>
      <c r="AJ152" s="903"/>
      <c r="AK152" s="1113">
        <v>8.7236959430164145</v>
      </c>
      <c r="AL152" s="1113">
        <v>7.1803314907282942</v>
      </c>
      <c r="AM152" s="1113">
        <v>2.0767203068961742</v>
      </c>
      <c r="AN152" s="1113">
        <v>5.4739187554321216</v>
      </c>
      <c r="AO152" s="903"/>
      <c r="AP152" s="1113">
        <v>47.681795022927297</v>
      </c>
      <c r="AQ152" s="1113">
        <v>44.906542522902328</v>
      </c>
      <c r="AR152" s="1113">
        <v>45.279560332045463</v>
      </c>
    </row>
    <row r="153" spans="17:44" x14ac:dyDescent="0.2">
      <c r="Q153" s="1386"/>
      <c r="R153" s="910" t="s">
        <v>107</v>
      </c>
      <c r="S153" s="910"/>
      <c r="T153" s="911">
        <v>1.6629800554861171E-2</v>
      </c>
      <c r="U153" s="911">
        <v>3.25</v>
      </c>
      <c r="V153" s="911">
        <v>5.1168617091880524E-3</v>
      </c>
      <c r="W153" s="911">
        <v>45.234615384615381</v>
      </c>
      <c r="X153" s="911">
        <v>5.1168617091880524</v>
      </c>
      <c r="AA153" s="1113">
        <v>1.6629800554861171E-2</v>
      </c>
      <c r="AB153" s="1113">
        <v>3.25</v>
      </c>
      <c r="AC153" s="1113">
        <v>5.1168617091880524E-3</v>
      </c>
      <c r="AD153" s="1113">
        <v>45.234615384615381</v>
      </c>
      <c r="AE153" s="1113">
        <v>5.1168617091880524</v>
      </c>
      <c r="AF153" s="1113">
        <v>10.761334166222646</v>
      </c>
      <c r="AG153" s="1113">
        <v>0.1547</v>
      </c>
      <c r="AH153" s="1113">
        <v>0.1457</v>
      </c>
      <c r="AI153" s="1113">
        <v>0.14701249999999999</v>
      </c>
      <c r="AJ153" s="903"/>
      <c r="AK153" s="1113">
        <v>8.2107871150183165</v>
      </c>
      <c r="AL153" s="1113">
        <v>6.5033486283166173</v>
      </c>
      <c r="AM153" s="1113">
        <v>2.1420463213675194</v>
      </c>
      <c r="AN153" s="1113">
        <v>5.1168617091880524</v>
      </c>
      <c r="AO153" s="903"/>
      <c r="AP153" s="1113">
        <v>47.6</v>
      </c>
      <c r="AQ153" s="1113">
        <v>44.830769230769228</v>
      </c>
      <c r="AR153" s="1113">
        <v>45.234615384615381</v>
      </c>
    </row>
    <row r="154" spans="17:44" x14ac:dyDescent="0.2">
      <c r="Q154" s="1386"/>
      <c r="R154" s="910" t="s">
        <v>108</v>
      </c>
      <c r="S154" s="910">
        <v>43221</v>
      </c>
      <c r="T154" s="911">
        <v>3.0024605229838769E-2</v>
      </c>
      <c r="U154" s="911">
        <v>3.274</v>
      </c>
      <c r="V154" s="911">
        <v>9.1706185796697516E-3</v>
      </c>
      <c r="W154" s="911">
        <v>43.136211664400527</v>
      </c>
      <c r="X154" s="911">
        <v>9.1706185796697532</v>
      </c>
      <c r="AA154" s="1113">
        <v>3.0024605229838769E-2</v>
      </c>
      <c r="AB154" s="1113">
        <v>3.274</v>
      </c>
      <c r="AC154" s="1113">
        <v>9.1706185796697516E-3</v>
      </c>
      <c r="AD154" s="1113">
        <v>43.136211664400527</v>
      </c>
      <c r="AE154" s="1113">
        <v>9.1706185796697532</v>
      </c>
      <c r="AF154" s="1113">
        <v>10.761334166222646</v>
      </c>
      <c r="AG154" s="1113">
        <v>0.14600000000000002</v>
      </c>
      <c r="AH154" s="1113">
        <v>0.14040000000000002</v>
      </c>
      <c r="AI154" s="1113">
        <v>0.14122795698924734</v>
      </c>
      <c r="AJ154" s="903"/>
      <c r="AK154" s="1113">
        <v>9.7692658119064699</v>
      </c>
      <c r="AL154" s="1113">
        <v>9.2877628502843432</v>
      </c>
      <c r="AM154" s="1113">
        <v>8.785538251303306</v>
      </c>
      <c r="AN154" s="1113">
        <v>9.1706185796697532</v>
      </c>
      <c r="AO154" s="903"/>
      <c r="AP154" s="1113">
        <v>44.593769089798414</v>
      </c>
      <c r="AQ154" s="1113">
        <v>42.883323152107522</v>
      </c>
      <c r="AR154" s="1113">
        <v>43.136211664400527</v>
      </c>
    </row>
    <row r="155" spans="17:44" x14ac:dyDescent="0.2">
      <c r="Q155" s="1386"/>
      <c r="R155" s="910" t="s">
        <v>109</v>
      </c>
      <c r="S155" s="910"/>
      <c r="T155" s="911">
        <v>3.1143161193750015E-2</v>
      </c>
      <c r="U155" s="911">
        <v>3.274</v>
      </c>
      <c r="V155" s="911">
        <v>9.5122667054825943E-3</v>
      </c>
      <c r="W155" s="911">
        <v>43.120885087897918</v>
      </c>
      <c r="X155" s="911">
        <v>9.5122667054825936</v>
      </c>
      <c r="AA155" s="1113">
        <v>3.1143161193750015E-2</v>
      </c>
      <c r="AB155" s="1113">
        <v>3.274</v>
      </c>
      <c r="AC155" s="1113">
        <v>9.5122667054825943E-3</v>
      </c>
      <c r="AD155" s="1113">
        <v>43.120885087897918</v>
      </c>
      <c r="AE155" s="1113">
        <v>9.5122667054825936</v>
      </c>
      <c r="AF155" s="1113">
        <v>10.761334166222646</v>
      </c>
      <c r="AG155" s="1113">
        <v>0.14599999999999999</v>
      </c>
      <c r="AH155" s="1113">
        <v>0.1404</v>
      </c>
      <c r="AI155" s="1113">
        <v>0.14117777777777779</v>
      </c>
      <c r="AJ155" s="903"/>
      <c r="AK155" s="1113">
        <v>9.3637089569334044</v>
      </c>
      <c r="AL155" s="1113">
        <v>9.7165857762457204</v>
      </c>
      <c r="AM155" s="1113">
        <v>9.3024300391411376</v>
      </c>
      <c r="AN155" s="1113">
        <v>9.5122667054825936</v>
      </c>
      <c r="AO155" s="903"/>
      <c r="AP155" s="1113">
        <v>44.593769089798407</v>
      </c>
      <c r="AQ155" s="1113">
        <v>42.883323152107515</v>
      </c>
      <c r="AR155" s="1113">
        <v>43.120885087897925</v>
      </c>
    </row>
    <row r="156" spans="17:44" x14ac:dyDescent="0.2">
      <c r="Q156" s="1386"/>
      <c r="R156" s="910" t="s">
        <v>110</v>
      </c>
      <c r="S156" s="910">
        <v>43282</v>
      </c>
      <c r="T156" s="911">
        <v>5.1125391337365697E-2</v>
      </c>
      <c r="U156" s="911">
        <v>3.274</v>
      </c>
      <c r="V156" s="911">
        <v>1.561557462961689E-2</v>
      </c>
      <c r="W156" s="911">
        <v>43.124716732023579</v>
      </c>
      <c r="X156" s="911">
        <v>15.615574629616891</v>
      </c>
      <c r="AA156" s="1113">
        <v>5.1125391337365697E-2</v>
      </c>
      <c r="AB156" s="1113">
        <v>3.274</v>
      </c>
      <c r="AC156" s="1113">
        <v>1.561557462961689E-2</v>
      </c>
      <c r="AD156" s="1113">
        <v>43.124716732023579</v>
      </c>
      <c r="AE156" s="1113">
        <v>15.615574629616891</v>
      </c>
      <c r="AF156" s="1113">
        <v>10.761334166222646</v>
      </c>
      <c r="AG156" s="1113">
        <v>0.14600000000000002</v>
      </c>
      <c r="AH156" s="1113">
        <v>0.14040000000000002</v>
      </c>
      <c r="AI156" s="1113">
        <v>0.14119032258064518</v>
      </c>
      <c r="AJ156" s="903"/>
      <c r="AK156" s="1113">
        <v>19.381656840329264</v>
      </c>
      <c r="AL156" s="1113">
        <v>15.663342133730389</v>
      </c>
      <c r="AM156" s="1113">
        <v>14.13659637296567</v>
      </c>
      <c r="AN156" s="1113">
        <v>15.615574629616891</v>
      </c>
      <c r="AO156" s="903"/>
      <c r="AP156" s="1113">
        <v>44.593769089798414</v>
      </c>
      <c r="AQ156" s="1113">
        <v>42.883323152107522</v>
      </c>
      <c r="AR156" s="1113">
        <v>43.124716732023572</v>
      </c>
    </row>
    <row r="157" spans="17:44" x14ac:dyDescent="0.2">
      <c r="Q157" s="1386"/>
      <c r="R157" s="910" t="s">
        <v>111</v>
      </c>
      <c r="S157" s="910"/>
      <c r="T157" s="911">
        <v>4.8200599311156014E-2</v>
      </c>
      <c r="U157" s="911">
        <v>3.298</v>
      </c>
      <c r="V157" s="911">
        <v>1.4615099851775625E-2</v>
      </c>
      <c r="W157" s="911">
        <v>42.822303514022842</v>
      </c>
      <c r="X157" s="911">
        <v>14.615099851775625</v>
      </c>
      <c r="AA157" s="1113">
        <v>4.8200599311156014E-2</v>
      </c>
      <c r="AB157" s="1113">
        <v>3.298</v>
      </c>
      <c r="AC157" s="1113">
        <v>1.4615099851775625E-2</v>
      </c>
      <c r="AD157" s="1113">
        <v>42.822303514022842</v>
      </c>
      <c r="AE157" s="1113">
        <v>14.615099851775625</v>
      </c>
      <c r="AF157" s="1113">
        <v>10.761334166222646</v>
      </c>
      <c r="AG157" s="1113">
        <v>0.14600000000000002</v>
      </c>
      <c r="AH157" s="1113">
        <v>0.14040000000000002</v>
      </c>
      <c r="AI157" s="1113">
        <v>0.14122795698924734</v>
      </c>
      <c r="AJ157" s="903"/>
      <c r="AK157" s="1113">
        <v>16.247562480015432</v>
      </c>
      <c r="AL157" s="1113">
        <v>13.276832943995108</v>
      </c>
      <c r="AM157" s="1113">
        <v>15.674289325451923</v>
      </c>
      <c r="AN157" s="1113">
        <v>14.615099851775625</v>
      </c>
      <c r="AO157" s="903"/>
      <c r="AP157" s="1113">
        <v>44.269254093389932</v>
      </c>
      <c r="AQ157" s="1113">
        <v>42.571255306246215</v>
      </c>
      <c r="AR157" s="1113">
        <v>42.822303514022842</v>
      </c>
    </row>
    <row r="158" spans="17:44" x14ac:dyDescent="0.2">
      <c r="Q158" s="1386"/>
      <c r="R158" s="910" t="s">
        <v>112</v>
      </c>
      <c r="S158" s="910">
        <v>43344</v>
      </c>
      <c r="T158" s="911">
        <v>3.0980776775000034E-2</v>
      </c>
      <c r="U158" s="911">
        <v>3.302</v>
      </c>
      <c r="V158" s="911">
        <v>9.3824278543307195E-3</v>
      </c>
      <c r="W158" s="911">
        <v>42.755232519012047</v>
      </c>
      <c r="X158" s="911">
        <v>9.3824278543307198</v>
      </c>
      <c r="AA158" s="1113">
        <v>3.0980776775000034E-2</v>
      </c>
      <c r="AB158" s="1113">
        <v>3.302</v>
      </c>
      <c r="AC158" s="1113">
        <v>9.3824278543307195E-3</v>
      </c>
      <c r="AD158" s="1113">
        <v>42.755232519012047</v>
      </c>
      <c r="AE158" s="1113">
        <v>9.3824278543307198</v>
      </c>
      <c r="AF158" s="1113">
        <v>10.761334166222646</v>
      </c>
      <c r="AG158" s="1113">
        <v>0.14599999999999999</v>
      </c>
      <c r="AH158" s="1113">
        <v>0.1404</v>
      </c>
      <c r="AI158" s="1113">
        <v>0.14117777777777779</v>
      </c>
      <c r="AJ158" s="903"/>
      <c r="AK158" s="1113">
        <v>9.6032557556026568</v>
      </c>
      <c r="AL158" s="1113">
        <v>9.472511070779607</v>
      </c>
      <c r="AM158" s="1113">
        <v>9.183865202907322</v>
      </c>
      <c r="AN158" s="1113">
        <v>9.3824278543307198</v>
      </c>
      <c r="AO158" s="903"/>
      <c r="AP158" s="1113">
        <v>44.215626892792244</v>
      </c>
      <c r="AQ158" s="1113">
        <v>42.519685039370081</v>
      </c>
      <c r="AR158" s="1113">
        <v>42.755232519012054</v>
      </c>
    </row>
    <row r="159" spans="17:44" x14ac:dyDescent="0.2">
      <c r="Q159" s="1386"/>
      <c r="R159" s="910" t="s">
        <v>113</v>
      </c>
      <c r="S159" s="910"/>
      <c r="T159" s="911">
        <v>2.6508954983198843E-2</v>
      </c>
      <c r="U159" s="911">
        <v>3.367</v>
      </c>
      <c r="V159" s="911">
        <v>7.873167503177559E-3</v>
      </c>
      <c r="W159" s="911">
        <v>41.944745170551627</v>
      </c>
      <c r="X159" s="911">
        <v>7.8731675031775596</v>
      </c>
      <c r="AA159" s="1113">
        <v>2.6508954983198843E-2</v>
      </c>
      <c r="AB159" s="1113">
        <v>3.367</v>
      </c>
      <c r="AC159" s="1113">
        <v>7.873167503177559E-3</v>
      </c>
      <c r="AD159" s="1113">
        <v>41.944745170551627</v>
      </c>
      <c r="AE159" s="1113">
        <v>7.8731675031775596</v>
      </c>
      <c r="AF159" s="1113">
        <v>10.761334166222646</v>
      </c>
      <c r="AG159" s="1113">
        <v>0.14600000000000002</v>
      </c>
      <c r="AH159" s="1113">
        <v>0.14040000000000002</v>
      </c>
      <c r="AI159" s="1113">
        <v>0.14122795698924734</v>
      </c>
      <c r="AJ159" s="903"/>
      <c r="AK159" s="1113">
        <v>8.868956868806869</v>
      </c>
      <c r="AL159" s="1113">
        <v>7.9834989901989957</v>
      </c>
      <c r="AM159" s="1113">
        <v>7.6044227863247764</v>
      </c>
      <c r="AN159" s="1113">
        <v>7.8731675031775596</v>
      </c>
      <c r="AO159" s="903"/>
      <c r="AP159" s="1113">
        <v>43.362043362043373</v>
      </c>
      <c r="AQ159" s="1113">
        <v>41.698841698841704</v>
      </c>
      <c r="AR159" s="1113">
        <v>41.944745170551627</v>
      </c>
    </row>
    <row r="160" spans="17:44" x14ac:dyDescent="0.2">
      <c r="Q160" s="1386"/>
      <c r="R160" s="910" t="s">
        <v>114</v>
      </c>
      <c r="S160" s="910">
        <v>43405</v>
      </c>
      <c r="T160" s="911">
        <v>2.6603319788194347E-2</v>
      </c>
      <c r="U160" s="911">
        <v>3.3820000000000001</v>
      </c>
      <c r="V160" s="911">
        <v>7.8661501443507819E-3</v>
      </c>
      <c r="W160" s="911">
        <v>43.306598659570277</v>
      </c>
      <c r="X160" s="911">
        <v>7.8661501443507831</v>
      </c>
      <c r="AA160" s="1113">
        <v>2.6603319788194347E-2</v>
      </c>
      <c r="AB160" s="1113">
        <v>3.3820000000000001</v>
      </c>
      <c r="AC160" s="1113">
        <v>7.8661501443507819E-3</v>
      </c>
      <c r="AD160" s="1113">
        <v>43.306598659570277</v>
      </c>
      <c r="AE160" s="1113">
        <v>7.8661501443507831</v>
      </c>
      <c r="AF160" s="1113">
        <v>10.761334166222646</v>
      </c>
      <c r="AG160" s="1113">
        <v>0.15140000000000001</v>
      </c>
      <c r="AH160" s="1113">
        <v>0.14562</v>
      </c>
      <c r="AI160" s="1113">
        <v>0.14646291666666666</v>
      </c>
      <c r="AJ160" s="903"/>
      <c r="AK160" s="1113">
        <v>8.5611108417110167</v>
      </c>
      <c r="AL160" s="1113">
        <v>8.0215879254193325</v>
      </c>
      <c r="AM160" s="1113">
        <v>7.3972727084565335</v>
      </c>
      <c r="AN160" s="1113">
        <v>7.8661501443507831</v>
      </c>
      <c r="AO160" s="903"/>
      <c r="AP160" s="1113">
        <v>44.766410408042582</v>
      </c>
      <c r="AQ160" s="1113">
        <v>43.057362507392078</v>
      </c>
      <c r="AR160" s="1113">
        <v>43.306598659570277</v>
      </c>
    </row>
    <row r="161" spans="17:44" ht="13.5" thickBot="1" x14ac:dyDescent="0.25">
      <c r="Q161" s="1387"/>
      <c r="R161" s="1114" t="s">
        <v>115</v>
      </c>
      <c r="S161" s="1114"/>
      <c r="T161" s="1115">
        <v>2.8731831282930109E-2</v>
      </c>
      <c r="U161" s="1115">
        <v>3.379</v>
      </c>
      <c r="V161" s="1115">
        <v>8.5030574971678343E-3</v>
      </c>
      <c r="W161" s="1115">
        <v>43.497949065543978</v>
      </c>
      <c r="X161" s="1115">
        <v>8.5030574971678341</v>
      </c>
      <c r="Y161" s="1120"/>
      <c r="Z161" s="1120"/>
      <c r="AA161" s="1118">
        <v>2.8731831282930109E-2</v>
      </c>
      <c r="AB161" s="1118">
        <v>3.379</v>
      </c>
      <c r="AC161" s="1118">
        <v>8.5030574971678343E-3</v>
      </c>
      <c r="AD161" s="1118">
        <v>43.497949065543978</v>
      </c>
      <c r="AE161" s="1118">
        <v>8.5030574971678341</v>
      </c>
      <c r="AF161" s="1118">
        <v>10.761334166222646</v>
      </c>
      <c r="AG161" s="1118">
        <v>0.152</v>
      </c>
      <c r="AH161" s="1118">
        <v>0.1462</v>
      </c>
      <c r="AI161" s="1118">
        <v>0.1469795698924731</v>
      </c>
      <c r="AJ161" s="1119"/>
      <c r="AK161" s="1118">
        <v>9.0930217682746406</v>
      </c>
      <c r="AL161" s="1118">
        <v>8.5681566841126031</v>
      </c>
      <c r="AM161" s="1118">
        <v>8.2064351661803467</v>
      </c>
      <c r="AN161" s="1118">
        <v>8.5030574971678341</v>
      </c>
      <c r="AO161" s="1119"/>
      <c r="AP161" s="1118">
        <v>44.983722994968922</v>
      </c>
      <c r="AQ161" s="1118">
        <v>43.267238828055639</v>
      </c>
      <c r="AR161" s="1118">
        <v>43.497949065543978</v>
      </c>
    </row>
    <row r="162" spans="17:44" ht="13.5" thickTop="1" x14ac:dyDescent="0.2">
      <c r="Q162" s="1388">
        <v>2019</v>
      </c>
      <c r="R162" s="1116" t="s">
        <v>97</v>
      </c>
      <c r="S162" s="1116">
        <v>43466</v>
      </c>
      <c r="T162" s="1117">
        <v>2.6741354966397901E-2</v>
      </c>
      <c r="U162" s="1117">
        <v>3.335</v>
      </c>
      <c r="V162" s="1117">
        <v>8.0183972912737309E-3</v>
      </c>
      <c r="W162" s="1117">
        <v>44.095210459286477</v>
      </c>
      <c r="X162" s="911">
        <v>8.0183972912737307</v>
      </c>
      <c r="AA162" s="1113">
        <v>2.6741354966397901E-2</v>
      </c>
      <c r="AB162" s="1113">
        <v>3.335</v>
      </c>
      <c r="AC162" s="1113">
        <v>8.0183972912737309E-3</v>
      </c>
      <c r="AD162" s="1113">
        <v>44.095210459286498</v>
      </c>
      <c r="AE162" s="1113">
        <v>8.0183972912737307</v>
      </c>
      <c r="AF162" s="1113">
        <v>8.9149159956475703</v>
      </c>
      <c r="AG162" s="1113">
        <v>0.152</v>
      </c>
      <c r="AH162" s="1113">
        <v>0.1462</v>
      </c>
      <c r="AI162" s="1113">
        <v>0.14705752688172041</v>
      </c>
      <c r="AJ162" s="903"/>
      <c r="AK162" s="1113">
        <v>8.9724117732043052</v>
      </c>
      <c r="AL162" s="1113">
        <v>8.5469751394725098</v>
      </c>
      <c r="AM162" s="1113">
        <v>6.9696993374280627</v>
      </c>
      <c r="AN162" s="1113">
        <v>8.0183972912737307</v>
      </c>
      <c r="AO162" s="903"/>
      <c r="AP162" s="1113">
        <v>45.57721139430285</v>
      </c>
      <c r="AQ162" s="1113">
        <v>43.838080959520241</v>
      </c>
      <c r="AR162" s="1113">
        <v>44.095210459286477</v>
      </c>
    </row>
    <row r="163" spans="17:44" x14ac:dyDescent="0.2">
      <c r="Q163" s="1386"/>
      <c r="R163" s="910" t="s">
        <v>102</v>
      </c>
      <c r="S163" s="910"/>
      <c r="T163" s="911">
        <v>2.1746304299107146E-2</v>
      </c>
      <c r="U163" s="911">
        <v>3.3050000000000002</v>
      </c>
      <c r="V163" s="911">
        <v>6.5798197576723587E-3</v>
      </c>
      <c r="W163" s="911">
        <v>44.497154383689924</v>
      </c>
      <c r="X163" s="911">
        <v>6.5798197576723583</v>
      </c>
      <c r="AA163" s="1113">
        <v>2.1746304299107146E-2</v>
      </c>
      <c r="AB163" s="1113">
        <v>3.3050000000000002</v>
      </c>
      <c r="AC163" s="1113">
        <v>6.5798197576723587E-3</v>
      </c>
      <c r="AD163" s="1113">
        <v>44.497154383689924</v>
      </c>
      <c r="AE163" s="1113">
        <v>6.5798197576723583</v>
      </c>
      <c r="AF163" s="1113">
        <v>8.9149159956475703</v>
      </c>
      <c r="AG163" s="1113">
        <v>0.152</v>
      </c>
      <c r="AH163" s="1113">
        <v>0.1462</v>
      </c>
      <c r="AI163" s="1113">
        <v>0.14706309523809522</v>
      </c>
      <c r="AJ163" s="903"/>
      <c r="AK163" s="1113">
        <v>8.8484246429651989</v>
      </c>
      <c r="AL163" s="1113">
        <v>8.7370851787065256</v>
      </c>
      <c r="AM163" s="1113">
        <v>2.9401950621953303</v>
      </c>
      <c r="AN163" s="1113">
        <v>6.5798197576723583</v>
      </c>
      <c r="AO163" s="903"/>
      <c r="AP163" s="1113">
        <v>45.990922844175493</v>
      </c>
      <c r="AQ163" s="1113">
        <v>44.236006051437208</v>
      </c>
      <c r="AR163" s="1113">
        <v>44.497154383689924</v>
      </c>
    </row>
    <row r="164" spans="17:44" x14ac:dyDescent="0.2">
      <c r="Q164" s="1386"/>
      <c r="R164" s="910" t="s">
        <v>106</v>
      </c>
      <c r="S164" s="910">
        <v>43525</v>
      </c>
      <c r="T164" s="911">
        <v>1.7521248854166702E-2</v>
      </c>
      <c r="U164" s="911">
        <v>3.3210000000000002</v>
      </c>
      <c r="V164" s="911">
        <v>5.2758954694871133E-3</v>
      </c>
      <c r="W164" s="911">
        <v>44.269361152392875</v>
      </c>
      <c r="X164" s="911">
        <v>5.2758954694871134</v>
      </c>
      <c r="AA164" s="1113">
        <v>1.7521248854166702E-2</v>
      </c>
      <c r="AB164" s="1113">
        <v>3.3210000000000002</v>
      </c>
      <c r="AC164" s="1113">
        <v>5.2758954694871133E-3</v>
      </c>
      <c r="AD164" s="1113">
        <v>44.269361152392875</v>
      </c>
      <c r="AE164" s="1113">
        <v>5.2758954694871134</v>
      </c>
      <c r="AF164" s="1113">
        <v>8.9149159956475703</v>
      </c>
      <c r="AG164" s="1113">
        <v>0.152</v>
      </c>
      <c r="AH164" s="1113">
        <v>0.1462</v>
      </c>
      <c r="AI164" s="1113">
        <v>0.14701854838709677</v>
      </c>
      <c r="AJ164" s="903"/>
      <c r="AK164" s="1113">
        <v>7.9768860139659541</v>
      </c>
      <c r="AL164" s="1113">
        <v>6.7758340116765243</v>
      </c>
      <c r="AM164" s="1113">
        <v>2.3239890811054678</v>
      </c>
      <c r="AN164" s="1113">
        <v>5.2758954694871134</v>
      </c>
      <c r="AO164" s="903"/>
      <c r="AP164" s="1113">
        <v>45.769346582354707</v>
      </c>
      <c r="AQ164" s="1113">
        <v>44.022884673291173</v>
      </c>
      <c r="AR164" s="1113">
        <v>44.269361152392882</v>
      </c>
    </row>
    <row r="165" spans="17:44" x14ac:dyDescent="0.2">
      <c r="Q165" s="1386"/>
      <c r="R165" s="910" t="s">
        <v>107</v>
      </c>
      <c r="S165" s="910"/>
      <c r="T165" s="911">
        <v>2.4015558329166714E-2</v>
      </c>
      <c r="U165" s="911">
        <v>3.3119999999999998</v>
      </c>
      <c r="V165" s="911">
        <v>7.2510743747484048E-3</v>
      </c>
      <c r="W165" s="911">
        <v>44.385735373054217</v>
      </c>
      <c r="X165" s="911">
        <v>7.2510743747484048</v>
      </c>
      <c r="AA165" s="1113">
        <v>2.4015558329166714E-2</v>
      </c>
      <c r="AB165" s="1113">
        <v>3.3119999999999998</v>
      </c>
      <c r="AC165" s="1113">
        <v>7.2510743747484048E-3</v>
      </c>
      <c r="AD165" s="1113">
        <v>44.385735373054217</v>
      </c>
      <c r="AE165" s="1113">
        <v>7.2510743747484048</v>
      </c>
      <c r="AF165" s="1113">
        <v>8.9149159956475703</v>
      </c>
      <c r="AG165" s="1113">
        <v>0.152</v>
      </c>
      <c r="AH165" s="1113">
        <v>0.1462</v>
      </c>
      <c r="AI165" s="1113">
        <v>0.14700555555555556</v>
      </c>
      <c r="AJ165" s="903"/>
      <c r="AK165" s="1113">
        <v>8.5401297690217355</v>
      </c>
      <c r="AL165" s="1113">
        <v>7.7848153545548762</v>
      </c>
      <c r="AM165" s="1113">
        <v>6.0817599956387509</v>
      </c>
      <c r="AN165" s="1113">
        <v>7.2510743747484048</v>
      </c>
      <c r="AO165" s="903"/>
      <c r="AP165" s="1113">
        <v>45.893719806763286</v>
      </c>
      <c r="AQ165" s="1113">
        <v>44.14251207729469</v>
      </c>
      <c r="AR165" s="1113">
        <v>44.385735373054217</v>
      </c>
    </row>
    <row r="166" spans="17:44" x14ac:dyDescent="0.2">
      <c r="Q166" s="1386"/>
      <c r="R166" s="910" t="s">
        <v>108</v>
      </c>
      <c r="S166" s="910">
        <v>43586</v>
      </c>
      <c r="T166" s="911">
        <v>2.9077520770161278E-2</v>
      </c>
      <c r="U166" s="911">
        <v>3.37</v>
      </c>
      <c r="V166" s="911">
        <v>8.6283444421843547E-3</v>
      </c>
      <c r="W166" s="911">
        <v>45.181631090265149</v>
      </c>
      <c r="X166" s="911">
        <v>8.6283444421843551</v>
      </c>
      <c r="AA166" s="1113">
        <v>2.9077520770161278E-2</v>
      </c>
      <c r="AB166" s="1113">
        <v>3.37</v>
      </c>
      <c r="AC166" s="1113">
        <v>8.6283444421843547E-3</v>
      </c>
      <c r="AD166" s="1113">
        <v>45.181631090265149</v>
      </c>
      <c r="AE166" s="1113">
        <v>8.6283444421843551</v>
      </c>
      <c r="AF166" s="1113">
        <v>8.9149159956475703</v>
      </c>
      <c r="AG166" s="1113">
        <v>0.1653</v>
      </c>
      <c r="AH166" s="1113">
        <v>0.15000000000000002</v>
      </c>
      <c r="AI166" s="1113">
        <v>0.15226209677419356</v>
      </c>
      <c r="AJ166" s="903"/>
      <c r="AK166" s="1113">
        <v>8.7242352171567248</v>
      </c>
      <c r="AL166" s="1113">
        <v>8.8715601007230269</v>
      </c>
      <c r="AM166" s="1113">
        <v>8.2810700908288464</v>
      </c>
      <c r="AN166" s="1113">
        <v>8.6283444421843551</v>
      </c>
      <c r="AO166" s="903"/>
      <c r="AP166" s="1113">
        <v>49.05044510385757</v>
      </c>
      <c r="AQ166" s="1113">
        <v>44.510385756676563</v>
      </c>
      <c r="AR166" s="1113">
        <v>45.181631090265149</v>
      </c>
    </row>
    <row r="167" spans="17:44" x14ac:dyDescent="0.2">
      <c r="Q167" s="1386"/>
      <c r="R167" s="910" t="s">
        <v>109</v>
      </c>
      <c r="S167" s="910"/>
      <c r="T167" s="911">
        <v>2.9798222761805462E-2</v>
      </c>
      <c r="U167" s="911">
        <v>3.29</v>
      </c>
      <c r="V167" s="911">
        <v>9.0572105658983156E-3</v>
      </c>
      <c r="W167" s="911">
        <v>46.238601823708194</v>
      </c>
      <c r="X167" s="911">
        <v>9.0572105658983162</v>
      </c>
      <c r="AA167" s="1113">
        <v>2.9798222761805462E-2</v>
      </c>
      <c r="AB167" s="1113">
        <v>3.29</v>
      </c>
      <c r="AC167" s="1113">
        <v>9.0572105658983156E-3</v>
      </c>
      <c r="AD167" s="1113">
        <v>46.238601823708194</v>
      </c>
      <c r="AE167" s="1113">
        <v>9.0572105658983162</v>
      </c>
      <c r="AF167" s="1113">
        <v>8.9149159956475703</v>
      </c>
      <c r="AG167" s="1113">
        <v>0.16529999999999997</v>
      </c>
      <c r="AH167" s="1113">
        <v>0.14999999999999997</v>
      </c>
      <c r="AI167" s="1113">
        <v>0.15212499999999998</v>
      </c>
      <c r="AJ167" s="903"/>
      <c r="AK167" s="1113">
        <v>9.183554278115496</v>
      </c>
      <c r="AL167" s="1113">
        <v>9.0540838723404526</v>
      </c>
      <c r="AM167" s="1113">
        <v>9.0144697196893055</v>
      </c>
      <c r="AN167" s="1113">
        <v>9.0572105658983162</v>
      </c>
      <c r="AO167" s="903"/>
      <c r="AP167" s="1113">
        <v>50.243161094224916</v>
      </c>
      <c r="AQ167" s="1113">
        <v>45.592705167173243</v>
      </c>
      <c r="AR167" s="1113">
        <v>46.238601823708201</v>
      </c>
    </row>
    <row r="168" spans="17:44" x14ac:dyDescent="0.2">
      <c r="Q168" s="1386"/>
      <c r="R168" s="910" t="s">
        <v>110</v>
      </c>
      <c r="S168" s="910">
        <v>43647</v>
      </c>
      <c r="T168" s="911">
        <v>3.0921263023521613E-2</v>
      </c>
      <c r="U168" s="911">
        <v>3.31</v>
      </c>
      <c r="V168" s="911">
        <v>9.3417713061998836E-3</v>
      </c>
      <c r="W168" s="911">
        <v>46.000633466523738</v>
      </c>
      <c r="X168" s="911">
        <v>9.3417713061998828</v>
      </c>
      <c r="AA168" s="1113">
        <v>3.0921263023521613E-2</v>
      </c>
      <c r="AB168" s="1113">
        <v>3.31</v>
      </c>
      <c r="AC168" s="1113">
        <v>9.3417713061998836E-3</v>
      </c>
      <c r="AD168" s="1113">
        <v>46.000633466523738</v>
      </c>
      <c r="AE168" s="1113">
        <v>9.3417713061998828</v>
      </c>
      <c r="AF168" s="1113">
        <v>8.9149159956475703</v>
      </c>
      <c r="AG168" s="1113">
        <v>0.1653</v>
      </c>
      <c r="AH168" s="1113">
        <v>0.15000000000000002</v>
      </c>
      <c r="AI168" s="1113">
        <v>0.15226209677419356</v>
      </c>
      <c r="AJ168" s="903"/>
      <c r="AK168" s="1113">
        <v>9.7378573400164932</v>
      </c>
      <c r="AL168" s="1113">
        <v>9.4255706425258694</v>
      </c>
      <c r="AM168" s="1113">
        <v>9.0789819581154223</v>
      </c>
      <c r="AN168" s="1113">
        <v>9.3417713061998828</v>
      </c>
      <c r="AO168" s="903"/>
      <c r="AP168" s="1113">
        <v>49.939577039274923</v>
      </c>
      <c r="AQ168" s="1113">
        <v>45.317220543806648</v>
      </c>
      <c r="AR168" s="1113">
        <v>46.000633466523738</v>
      </c>
    </row>
    <row r="169" spans="17:44" x14ac:dyDescent="0.2">
      <c r="Q169" s="1386"/>
      <c r="R169" s="910" t="s">
        <v>111</v>
      </c>
      <c r="S169" s="910"/>
      <c r="T169" s="911">
        <v>3.8449821463037513E-2</v>
      </c>
      <c r="U169" s="911">
        <v>3.399</v>
      </c>
      <c r="V169" s="911">
        <v>1.1312098106218745E-2</v>
      </c>
      <c r="W169" s="911">
        <v>44.796144976226408</v>
      </c>
      <c r="X169" s="911">
        <v>11.312098106218745</v>
      </c>
      <c r="AA169" s="1113">
        <v>3.8449821463037513E-2</v>
      </c>
      <c r="AB169" s="1113">
        <v>3.399</v>
      </c>
      <c r="AC169" s="1113">
        <v>1.1312098106218745E-2</v>
      </c>
      <c r="AD169" s="1113">
        <v>44.796144976226408</v>
      </c>
      <c r="AE169" s="1113">
        <v>11.312098106218745</v>
      </c>
      <c r="AF169" s="1113">
        <v>8.9149159956475703</v>
      </c>
      <c r="AG169" s="1113">
        <v>0.1653</v>
      </c>
      <c r="AH169" s="1113">
        <v>0.15000000000000002</v>
      </c>
      <c r="AI169" s="1113">
        <v>0.15226209677419356</v>
      </c>
      <c r="AJ169" s="903"/>
      <c r="AK169" s="1113">
        <v>11.475197473855948</v>
      </c>
      <c r="AL169" s="1113">
        <v>11.383131873086116</v>
      </c>
      <c r="AM169" s="1113">
        <v>11.157410229236731</v>
      </c>
      <c r="AN169" s="1113">
        <v>11.312098106218745</v>
      </c>
      <c r="AO169" s="903"/>
      <c r="AP169" s="1113">
        <v>48.631950573698141</v>
      </c>
      <c r="AQ169" s="1113">
        <v>44.130626654898499</v>
      </c>
      <c r="AR169" s="1113">
        <v>44.796144976226408</v>
      </c>
    </row>
    <row r="170" spans="17:44" x14ac:dyDescent="0.2">
      <c r="Q170" s="1386"/>
      <c r="R170" s="910" t="s">
        <v>112</v>
      </c>
      <c r="S170" s="910">
        <v>43709</v>
      </c>
      <c r="T170" s="911">
        <v>3.3601111515972115E-2</v>
      </c>
      <c r="U170" s="911">
        <v>3.3570000000000002</v>
      </c>
      <c r="V170" s="911">
        <v>1.0009267654445073E-2</v>
      </c>
      <c r="W170" s="911">
        <v>45.347408400357445</v>
      </c>
      <c r="X170" s="911">
        <v>10.009267654445074</v>
      </c>
      <c r="AA170" s="1113">
        <v>3.3601111515972115E-2</v>
      </c>
      <c r="AB170" s="1113">
        <v>3.3570000000000002</v>
      </c>
      <c r="AC170" s="1113">
        <v>1.0009267654445073E-2</v>
      </c>
      <c r="AD170" s="1113">
        <v>45.347408400357445</v>
      </c>
      <c r="AE170" s="1113">
        <v>10.009267654445074</v>
      </c>
      <c r="AF170" s="1113">
        <v>8.9149159956475703</v>
      </c>
      <c r="AG170" s="1113">
        <v>0.16529999999999997</v>
      </c>
      <c r="AH170" s="1113">
        <v>0.14999999999999997</v>
      </c>
      <c r="AI170" s="1113">
        <v>0.15223124999999996</v>
      </c>
      <c r="AJ170" s="903"/>
      <c r="AK170" s="1113">
        <v>10.30328098358795</v>
      </c>
      <c r="AL170" s="1113">
        <v>9.9853884748718933</v>
      </c>
      <c r="AM170" s="1113">
        <v>9.9254414225664611</v>
      </c>
      <c r="AN170" s="1113">
        <v>10.009267654445074</v>
      </c>
      <c r="AO170" s="903"/>
      <c r="AP170" s="1113">
        <v>49.240393208221612</v>
      </c>
      <c r="AQ170" s="1113">
        <v>44.682752457551373</v>
      </c>
      <c r="AR170" s="1113">
        <v>45.347408400357445</v>
      </c>
    </row>
    <row r="171" spans="17:44" x14ac:dyDescent="0.2">
      <c r="Q171" s="1386"/>
      <c r="R171" s="910" t="s">
        <v>113</v>
      </c>
      <c r="S171" s="910"/>
      <c r="T171" s="911">
        <v>4.6821261995967887E-2</v>
      </c>
      <c r="U171" s="911">
        <v>3.3490000000000002</v>
      </c>
      <c r="V171" s="911">
        <v>1.3980669452364253E-2</v>
      </c>
      <c r="W171" s="911">
        <v>45.464943796414914</v>
      </c>
      <c r="X171" s="911">
        <v>13.980669452364253</v>
      </c>
      <c r="AA171" s="1113">
        <v>4.6821261995967887E-2</v>
      </c>
      <c r="AB171" s="1113">
        <v>3.3490000000000002</v>
      </c>
      <c r="AC171" s="1113">
        <v>1.3980669452364253E-2</v>
      </c>
      <c r="AD171" s="1113">
        <v>45.464943796414914</v>
      </c>
      <c r="AE171" s="1113">
        <v>13.980669452364253</v>
      </c>
      <c r="AF171" s="1113">
        <v>8.9149159956475703</v>
      </c>
      <c r="AG171" s="1113">
        <v>0.1653</v>
      </c>
      <c r="AH171" s="1113">
        <v>0.15000000000000002</v>
      </c>
      <c r="AI171" s="1113">
        <v>0.15226209677419356</v>
      </c>
      <c r="AJ171" s="903"/>
      <c r="AK171" s="1113">
        <v>12.773976660604241</v>
      </c>
      <c r="AL171" s="1113">
        <v>15.396955019156415</v>
      </c>
      <c r="AM171" s="1113">
        <v>12.65434268133324</v>
      </c>
      <c r="AN171" s="1113">
        <v>13.980669452364253</v>
      </c>
      <c r="AO171" s="903"/>
      <c r="AP171" s="1113">
        <v>49.358017318602563</v>
      </c>
      <c r="AQ171" s="1113">
        <v>44.789489399820845</v>
      </c>
      <c r="AR171" s="1113">
        <v>45.464943796414914</v>
      </c>
    </row>
    <row r="172" spans="17:44" x14ac:dyDescent="0.2">
      <c r="Q172" s="1386"/>
      <c r="R172" s="910" t="s">
        <v>114</v>
      </c>
      <c r="S172" s="910">
        <v>43770</v>
      </c>
      <c r="T172" s="911">
        <v>3.3564149804861061E-2</v>
      </c>
      <c r="U172" s="911">
        <v>3.399</v>
      </c>
      <c r="V172" s="911">
        <v>9.874713093516051E-3</v>
      </c>
      <c r="W172" s="911">
        <v>44.75581053250955</v>
      </c>
      <c r="X172" s="911">
        <v>9.8747130935160516</v>
      </c>
      <c r="AA172" s="1113">
        <v>3.3564149804861061E-2</v>
      </c>
      <c r="AB172" s="1113">
        <v>3.399</v>
      </c>
      <c r="AC172" s="1113">
        <v>9.874713093516051E-3</v>
      </c>
      <c r="AD172" s="1113">
        <v>44.75581053250955</v>
      </c>
      <c r="AE172" s="1113">
        <v>9.8747130935160516</v>
      </c>
      <c r="AF172" s="1113">
        <v>8.9149159956475703</v>
      </c>
      <c r="AG172" s="1113">
        <v>0.16529999999999997</v>
      </c>
      <c r="AH172" s="1113">
        <v>0.14999999999999997</v>
      </c>
      <c r="AI172" s="1113">
        <v>0.15212499999999998</v>
      </c>
      <c r="AJ172" s="903"/>
      <c r="AK172" s="1113">
        <v>10.287689945572229</v>
      </c>
      <c r="AL172" s="1113">
        <v>10.090460606480912</v>
      </c>
      <c r="AM172" s="1113">
        <v>9.4420860018742001</v>
      </c>
      <c r="AN172" s="1113">
        <v>9.8747130935160516</v>
      </c>
      <c r="AO172" s="903"/>
      <c r="AP172" s="1113">
        <v>48.631950573698141</v>
      </c>
      <c r="AQ172" s="1113">
        <v>44.130626654898492</v>
      </c>
      <c r="AR172" s="1113">
        <v>44.755810532509557</v>
      </c>
    </row>
    <row r="173" spans="17:44" ht="13.5" thickBot="1" x14ac:dyDescent="0.25">
      <c r="Q173" s="1387"/>
      <c r="R173" s="1114" t="s">
        <v>115</v>
      </c>
      <c r="S173" s="1114"/>
      <c r="T173" s="1115">
        <v>2.5374155848790381E-2</v>
      </c>
      <c r="U173" s="1115">
        <v>3.3170000000000002</v>
      </c>
      <c r="V173" s="1115">
        <v>7.6497304337625506E-3</v>
      </c>
      <c r="W173" s="1115">
        <v>45.872557791241604</v>
      </c>
      <c r="X173" s="1115">
        <v>7.6497304337625502</v>
      </c>
      <c r="Y173" s="1120"/>
      <c r="Z173" s="1120"/>
      <c r="AA173" s="1118">
        <v>2.5374155848790381E-2</v>
      </c>
      <c r="AB173" s="1118">
        <v>3.3170000000000002</v>
      </c>
      <c r="AC173" s="1118">
        <v>7.6497304337625506E-3</v>
      </c>
      <c r="AD173" s="1118">
        <v>45.872557791241604</v>
      </c>
      <c r="AE173" s="1118">
        <v>7.6497304337625502</v>
      </c>
      <c r="AF173" s="1118">
        <v>8.9149159956475703</v>
      </c>
      <c r="AG173" s="1118">
        <v>0.1653</v>
      </c>
      <c r="AH173" s="1118">
        <v>0.15000000000000002</v>
      </c>
      <c r="AI173" s="1118">
        <v>0.15215927419354841</v>
      </c>
      <c r="AJ173" s="1119"/>
      <c r="AK173" s="1118">
        <v>9.2855087213058258</v>
      </c>
      <c r="AL173" s="1118">
        <v>8.1801663283421924</v>
      </c>
      <c r="AM173" s="1118">
        <v>6.3496815368423549</v>
      </c>
      <c r="AN173" s="1118">
        <v>7.6497304337625502</v>
      </c>
      <c r="AO173" s="1119"/>
      <c r="AP173" s="1118">
        <v>49.834187518842327</v>
      </c>
      <c r="AQ173" s="1118">
        <v>45.221585770274345</v>
      </c>
      <c r="AR173" s="1118">
        <v>45.872557791241604</v>
      </c>
    </row>
    <row r="174" spans="17:44" ht="13.5" thickTop="1" x14ac:dyDescent="0.2"/>
  </sheetData>
  <mergeCells count="21">
    <mergeCell ref="Q162:Q173"/>
    <mergeCell ref="K7:L7"/>
    <mergeCell ref="Q30:Q41"/>
    <mergeCell ref="Q42:Q53"/>
    <mergeCell ref="Q54:Q65"/>
    <mergeCell ref="R4:R5"/>
    <mergeCell ref="U4:U5"/>
    <mergeCell ref="Q6:Q17"/>
    <mergeCell ref="Q18:Q29"/>
    <mergeCell ref="K9:K10"/>
    <mergeCell ref="L9:L10"/>
    <mergeCell ref="K11:K12"/>
    <mergeCell ref="L11:L12"/>
    <mergeCell ref="Q66:Q77"/>
    <mergeCell ref="Q78:Q89"/>
    <mergeCell ref="Q90:Q101"/>
    <mergeCell ref="Q126:Q137"/>
    <mergeCell ref="Q150:Q161"/>
    <mergeCell ref="Q138:Q149"/>
    <mergeCell ref="Q102:Q113"/>
    <mergeCell ref="Q114:Q12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5"/>
  <sheetViews>
    <sheetView view="pageBreakPreview" zoomScale="90" zoomScaleNormal="100" zoomScaleSheetLayoutView="90" workbookViewId="0">
      <selection activeCell="P20" sqref="P20"/>
    </sheetView>
  </sheetViews>
  <sheetFormatPr baseColWidth="10" defaultColWidth="11.42578125" defaultRowHeight="12.75" x14ac:dyDescent="0.2"/>
  <cols>
    <col min="1" max="1" width="2.85546875" style="73" customWidth="1"/>
    <col min="2" max="2" width="21.7109375" style="73" customWidth="1"/>
    <col min="3" max="3" width="11.85546875" style="73" customWidth="1"/>
    <col min="4" max="4" width="9.140625" style="73" bestFit="1" customWidth="1"/>
    <col min="5" max="6" width="8.5703125" style="73" customWidth="1"/>
    <col min="7" max="7" width="8.42578125" style="73" customWidth="1"/>
    <col min="8" max="8" width="11.140625" style="73" customWidth="1"/>
    <col min="9" max="9" width="11.7109375" style="73" customWidth="1"/>
    <col min="10" max="11" width="9.28515625" style="73" customWidth="1"/>
    <col min="12" max="12" width="8.7109375" style="73" customWidth="1"/>
    <col min="13" max="13" width="9.28515625" style="73" customWidth="1"/>
    <col min="14" max="14" width="9.85546875" style="73" customWidth="1"/>
    <col min="15" max="15" width="8.7109375" style="73" customWidth="1"/>
    <col min="16" max="16" width="11.42578125" style="73"/>
    <col min="17" max="22" width="11.42578125" style="210"/>
    <col min="23" max="16384" width="11.42578125" style="73"/>
  </cols>
  <sheetData>
    <row r="1" spans="1:22" ht="15.75" x14ac:dyDescent="0.25">
      <c r="A1" s="59" t="s">
        <v>59</v>
      </c>
    </row>
    <row r="2" spans="1:22" ht="15" x14ac:dyDescent="0.25">
      <c r="C2" s="208"/>
      <c r="D2" s="208"/>
      <c r="E2" s="208"/>
      <c r="F2" s="208"/>
      <c r="G2" s="208"/>
      <c r="H2" s="208"/>
      <c r="I2" s="208"/>
      <c r="J2" s="273"/>
      <c r="K2" s="273"/>
      <c r="L2" s="209"/>
      <c r="M2" s="209"/>
      <c r="N2" s="209"/>
      <c r="O2" s="209"/>
    </row>
    <row r="3" spans="1:22" ht="13.5" thickBot="1" x14ac:dyDescent="0.25"/>
    <row r="4" spans="1:22" ht="15.75" customHeight="1" x14ac:dyDescent="0.2">
      <c r="B4" s="1262" t="s">
        <v>18</v>
      </c>
      <c r="C4" s="1264" t="s">
        <v>0</v>
      </c>
      <c r="D4" s="1135" t="s">
        <v>0</v>
      </c>
      <c r="E4" s="1136"/>
      <c r="F4" s="1136"/>
      <c r="G4" s="1136"/>
      <c r="H4" s="1135" t="s">
        <v>14</v>
      </c>
      <c r="I4" s="1136"/>
      <c r="J4" s="1137"/>
      <c r="K4" s="1137"/>
      <c r="L4" s="1137"/>
      <c r="M4" s="1135" t="s">
        <v>15</v>
      </c>
      <c r="N4" s="1138"/>
      <c r="O4" s="1139"/>
      <c r="R4" s="210" t="s">
        <v>0</v>
      </c>
      <c r="S4" s="210" t="s">
        <v>1</v>
      </c>
      <c r="T4" s="210" t="s">
        <v>2</v>
      </c>
      <c r="U4" s="210" t="s">
        <v>58</v>
      </c>
      <c r="V4" s="210" t="s">
        <v>189</v>
      </c>
    </row>
    <row r="5" spans="1:22" ht="13.5" thickBot="1" x14ac:dyDescent="0.25">
      <c r="B5" s="1263"/>
      <c r="C5" s="1265"/>
      <c r="D5" s="1140" t="s">
        <v>4</v>
      </c>
      <c r="E5" s="1141" t="s">
        <v>5</v>
      </c>
      <c r="F5" s="1141" t="s">
        <v>58</v>
      </c>
      <c r="G5" s="1141" t="s">
        <v>6</v>
      </c>
      <c r="H5" s="1142" t="s">
        <v>0</v>
      </c>
      <c r="I5" s="1141" t="s">
        <v>4</v>
      </c>
      <c r="J5" s="1141" t="s">
        <v>5</v>
      </c>
      <c r="K5" s="1141" t="s">
        <v>58</v>
      </c>
      <c r="L5" s="1141" t="s">
        <v>6</v>
      </c>
      <c r="M5" s="1142" t="s">
        <v>0</v>
      </c>
      <c r="N5" s="1143" t="s">
        <v>4</v>
      </c>
      <c r="O5" s="1144" t="s">
        <v>5</v>
      </c>
      <c r="Q5" s="210">
        <v>1995</v>
      </c>
      <c r="R5" s="584">
        <f t="shared" ref="R5:T20" si="0">C7</f>
        <v>4075.4080000000004</v>
      </c>
      <c r="S5" s="584">
        <f t="shared" si="0"/>
        <v>2474.8850000000002</v>
      </c>
      <c r="T5" s="584">
        <f t="shared" si="0"/>
        <v>1600.5229999999999</v>
      </c>
    </row>
    <row r="6" spans="1:22" x14ac:dyDescent="0.2">
      <c r="B6" s="274"/>
      <c r="C6" s="275"/>
      <c r="D6" s="276"/>
      <c r="E6" s="277"/>
      <c r="F6" s="277"/>
      <c r="G6" s="278"/>
      <c r="H6" s="279"/>
      <c r="I6" s="277"/>
      <c r="J6" s="277"/>
      <c r="K6" s="277"/>
      <c r="L6" s="278"/>
      <c r="M6" s="276"/>
      <c r="N6" s="280"/>
      <c r="O6" s="281"/>
      <c r="Q6" s="210">
        <v>1996</v>
      </c>
      <c r="R6" s="584">
        <f t="shared" si="0"/>
        <v>4003.201</v>
      </c>
      <c r="S6" s="584">
        <f t="shared" si="0"/>
        <v>2201.877</v>
      </c>
      <c r="T6" s="584">
        <f t="shared" si="0"/>
        <v>1801.0740000000001</v>
      </c>
    </row>
    <row r="7" spans="1:22" x14ac:dyDescent="0.2">
      <c r="B7" s="282">
        <v>1995</v>
      </c>
      <c r="C7" s="1096">
        <f t="shared" ref="C7:C22" si="1">SUM(D7:G7)</f>
        <v>4075.4080000000004</v>
      </c>
      <c r="D7" s="420">
        <f t="shared" ref="D7:E22" si="2">SUM(I7,N7)</f>
        <v>2474.8850000000002</v>
      </c>
      <c r="E7" s="420">
        <f t="shared" si="2"/>
        <v>1600.5229999999999</v>
      </c>
      <c r="F7" s="420"/>
      <c r="G7" s="420"/>
      <c r="H7" s="420">
        <f t="shared" ref="H7:H21" si="3">SUM(I7:L7)</f>
        <v>3195.3919999999998</v>
      </c>
      <c r="I7" s="420">
        <v>2205.915</v>
      </c>
      <c r="J7" s="420">
        <v>989.47699999999998</v>
      </c>
      <c r="K7" s="420"/>
      <c r="L7" s="420"/>
      <c r="M7" s="420">
        <f t="shared" ref="M7:M22" si="4">SUM(N7:O7)</f>
        <v>880.01599999999996</v>
      </c>
      <c r="N7" s="420">
        <v>268.97000000000003</v>
      </c>
      <c r="O7" s="499">
        <v>611.04599999999994</v>
      </c>
      <c r="Q7" s="210">
        <v>1997</v>
      </c>
      <c r="R7" s="584">
        <f t="shared" si="0"/>
        <v>4581.0190000000002</v>
      </c>
      <c r="S7" s="584">
        <f t="shared" si="0"/>
        <v>2210.904</v>
      </c>
      <c r="T7" s="584">
        <f t="shared" si="0"/>
        <v>2369.8649999999998</v>
      </c>
    </row>
    <row r="8" spans="1:22" x14ac:dyDescent="0.2">
      <c r="B8" s="283">
        <v>1996</v>
      </c>
      <c r="C8" s="1097">
        <f t="shared" si="1"/>
        <v>4003.201</v>
      </c>
      <c r="D8" s="424">
        <f t="shared" si="2"/>
        <v>2201.877</v>
      </c>
      <c r="E8" s="424">
        <f t="shared" si="2"/>
        <v>1801.0740000000001</v>
      </c>
      <c r="F8" s="424"/>
      <c r="G8" s="424">
        <v>0.25</v>
      </c>
      <c r="H8" s="424">
        <f t="shared" si="3"/>
        <v>2879.5010000000002</v>
      </c>
      <c r="I8" s="424">
        <v>1924.8510000000001</v>
      </c>
      <c r="J8" s="424">
        <v>954.4</v>
      </c>
      <c r="K8" s="424"/>
      <c r="L8" s="424">
        <v>0.25</v>
      </c>
      <c r="M8" s="424">
        <f t="shared" si="4"/>
        <v>1123.7</v>
      </c>
      <c r="N8" s="424">
        <v>277.02600000000001</v>
      </c>
      <c r="O8" s="500">
        <v>846.67400000000009</v>
      </c>
      <c r="Q8" s="210">
        <v>1998</v>
      </c>
      <c r="R8" s="584">
        <f t="shared" si="0"/>
        <v>4781.6309999999994</v>
      </c>
      <c r="S8" s="584">
        <f t="shared" si="0"/>
        <v>2116.8689999999997</v>
      </c>
      <c r="T8" s="584">
        <f t="shared" si="0"/>
        <v>2664.5119999999997</v>
      </c>
    </row>
    <row r="9" spans="1:22" x14ac:dyDescent="0.2">
      <c r="B9" s="282">
        <v>1997</v>
      </c>
      <c r="C9" s="1096">
        <f t="shared" si="1"/>
        <v>4581.0190000000002</v>
      </c>
      <c r="D9" s="427">
        <f t="shared" si="2"/>
        <v>2210.904</v>
      </c>
      <c r="E9" s="427">
        <f t="shared" si="2"/>
        <v>2369.8649999999998</v>
      </c>
      <c r="F9" s="427"/>
      <c r="G9" s="427">
        <v>0.25</v>
      </c>
      <c r="H9" s="427">
        <f t="shared" si="3"/>
        <v>3826.8329999999996</v>
      </c>
      <c r="I9" s="427">
        <v>2120.1709999999998</v>
      </c>
      <c r="J9" s="427">
        <v>1706.4119999999998</v>
      </c>
      <c r="K9" s="427"/>
      <c r="L9" s="427">
        <v>0.25</v>
      </c>
      <c r="M9" s="427">
        <f t="shared" si="4"/>
        <v>754.18599999999992</v>
      </c>
      <c r="N9" s="427">
        <v>90.733000000000004</v>
      </c>
      <c r="O9" s="499">
        <v>663.45299999999997</v>
      </c>
      <c r="Q9" s="210">
        <v>1999</v>
      </c>
      <c r="R9" s="584">
        <f t="shared" si="0"/>
        <v>5116.1559999999999</v>
      </c>
      <c r="S9" s="584">
        <f t="shared" si="0"/>
        <v>2318.1080000000002</v>
      </c>
      <c r="T9" s="584">
        <f t="shared" si="0"/>
        <v>2797.348</v>
      </c>
    </row>
    <row r="10" spans="1:22" x14ac:dyDescent="0.2">
      <c r="B10" s="283">
        <v>1998</v>
      </c>
      <c r="C10" s="1097">
        <f t="shared" si="1"/>
        <v>4781.6309999999994</v>
      </c>
      <c r="D10" s="424">
        <f t="shared" si="2"/>
        <v>2116.8689999999997</v>
      </c>
      <c r="E10" s="424">
        <f t="shared" si="2"/>
        <v>2664.5119999999997</v>
      </c>
      <c r="F10" s="424"/>
      <c r="G10" s="424">
        <v>0.25</v>
      </c>
      <c r="H10" s="424">
        <f t="shared" si="3"/>
        <v>4020.8509999999997</v>
      </c>
      <c r="I10" s="424">
        <v>2022.9019999999998</v>
      </c>
      <c r="J10" s="424">
        <v>1997.6489999999999</v>
      </c>
      <c r="K10" s="424"/>
      <c r="L10" s="424">
        <v>0.3</v>
      </c>
      <c r="M10" s="424">
        <f t="shared" si="4"/>
        <v>760.82999999999993</v>
      </c>
      <c r="N10" s="424">
        <v>93.967000000000013</v>
      </c>
      <c r="O10" s="500">
        <v>666.86299999999994</v>
      </c>
      <c r="Q10" s="210">
        <v>2000</v>
      </c>
      <c r="R10" s="584">
        <f t="shared" si="0"/>
        <v>5554.8460000000005</v>
      </c>
      <c r="S10" s="584">
        <f t="shared" si="0"/>
        <v>2650.8950000000004</v>
      </c>
      <c r="T10" s="584">
        <f t="shared" si="0"/>
        <v>2903.2510000000002</v>
      </c>
    </row>
    <row r="11" spans="1:22" x14ac:dyDescent="0.2">
      <c r="B11" s="282">
        <v>1999</v>
      </c>
      <c r="C11" s="1096">
        <f t="shared" si="1"/>
        <v>5116.1559999999999</v>
      </c>
      <c r="D11" s="427">
        <f t="shared" si="2"/>
        <v>2318.1080000000002</v>
      </c>
      <c r="E11" s="427">
        <f t="shared" si="2"/>
        <v>2797.348</v>
      </c>
      <c r="F11" s="427"/>
      <c r="G11" s="427">
        <v>0.7</v>
      </c>
      <c r="H11" s="427">
        <f t="shared" si="3"/>
        <v>4317.9289999999992</v>
      </c>
      <c r="I11" s="427">
        <v>2242.625</v>
      </c>
      <c r="J11" s="427">
        <v>2074.6039999999998</v>
      </c>
      <c r="K11" s="427"/>
      <c r="L11" s="427">
        <v>0.7</v>
      </c>
      <c r="M11" s="427">
        <f t="shared" si="4"/>
        <v>798.22699999999998</v>
      </c>
      <c r="N11" s="427">
        <v>75.48299999999999</v>
      </c>
      <c r="O11" s="499">
        <v>722.74400000000003</v>
      </c>
      <c r="Q11" s="210">
        <v>2001</v>
      </c>
      <c r="R11" s="584">
        <f t="shared" si="0"/>
        <v>5387.1769999999997</v>
      </c>
      <c r="S11" s="584">
        <f t="shared" si="0"/>
        <v>2744.5029999999997</v>
      </c>
      <c r="T11" s="584">
        <f t="shared" si="0"/>
        <v>2641.9740000000002</v>
      </c>
    </row>
    <row r="12" spans="1:22" x14ac:dyDescent="0.2">
      <c r="B12" s="283">
        <v>2000</v>
      </c>
      <c r="C12" s="1097">
        <f t="shared" si="1"/>
        <v>5554.8460000000005</v>
      </c>
      <c r="D12" s="424">
        <f t="shared" si="2"/>
        <v>2650.8950000000004</v>
      </c>
      <c r="E12" s="424">
        <f t="shared" si="2"/>
        <v>2903.2510000000002</v>
      </c>
      <c r="F12" s="424"/>
      <c r="G12" s="424">
        <f>L12</f>
        <v>0.7</v>
      </c>
      <c r="H12" s="424">
        <f t="shared" si="3"/>
        <v>4775.9350000000004</v>
      </c>
      <c r="I12" s="424">
        <v>2575.9240000000004</v>
      </c>
      <c r="J12" s="424">
        <v>2199.3110000000001</v>
      </c>
      <c r="K12" s="424"/>
      <c r="L12" s="424">
        <v>0.7</v>
      </c>
      <c r="M12" s="424">
        <f t="shared" si="4"/>
        <v>778.91100000000006</v>
      </c>
      <c r="N12" s="424">
        <v>74.971000000000004</v>
      </c>
      <c r="O12" s="500">
        <v>703.94</v>
      </c>
      <c r="Q12" s="585">
        <v>2002</v>
      </c>
      <c r="R12" s="584">
        <f t="shared" si="0"/>
        <v>5395.6689999999999</v>
      </c>
      <c r="S12" s="584">
        <f t="shared" si="0"/>
        <v>2775.2819999999997</v>
      </c>
      <c r="T12" s="584">
        <f t="shared" si="0"/>
        <v>2619.6870000000004</v>
      </c>
    </row>
    <row r="13" spans="1:22" x14ac:dyDescent="0.2">
      <c r="B13" s="285" t="s">
        <v>231</v>
      </c>
      <c r="C13" s="1096">
        <f t="shared" si="1"/>
        <v>5387.1769999999997</v>
      </c>
      <c r="D13" s="427">
        <f t="shared" si="2"/>
        <v>2744.5029999999997</v>
      </c>
      <c r="E13" s="427">
        <f t="shared" si="2"/>
        <v>2641.9740000000002</v>
      </c>
      <c r="F13" s="427"/>
      <c r="G13" s="427">
        <v>0.7</v>
      </c>
      <c r="H13" s="427">
        <f t="shared" si="3"/>
        <v>4642.0639999999994</v>
      </c>
      <c r="I13" s="427">
        <v>2674.8349999999996</v>
      </c>
      <c r="J13" s="427">
        <v>1966.529</v>
      </c>
      <c r="K13" s="427"/>
      <c r="L13" s="427">
        <v>0.7</v>
      </c>
      <c r="M13" s="427">
        <f t="shared" si="4"/>
        <v>745.11300000000017</v>
      </c>
      <c r="N13" s="427">
        <v>69.667999999999992</v>
      </c>
      <c r="O13" s="499">
        <v>675.44500000000016</v>
      </c>
      <c r="Q13" s="210">
        <v>2003</v>
      </c>
      <c r="R13" s="584">
        <f t="shared" si="0"/>
        <v>5421.8069999999998</v>
      </c>
      <c r="S13" s="584">
        <f t="shared" si="0"/>
        <v>2790.2730000000001</v>
      </c>
      <c r="T13" s="584">
        <f t="shared" si="0"/>
        <v>2630.8340000000003</v>
      </c>
    </row>
    <row r="14" spans="1:22" x14ac:dyDescent="0.2">
      <c r="B14" s="283">
        <v>2002</v>
      </c>
      <c r="C14" s="1097">
        <f t="shared" si="1"/>
        <v>5395.6689999999999</v>
      </c>
      <c r="D14" s="420">
        <f t="shared" si="2"/>
        <v>2775.2819999999997</v>
      </c>
      <c r="E14" s="420">
        <f t="shared" si="2"/>
        <v>2619.6870000000004</v>
      </c>
      <c r="F14" s="420"/>
      <c r="G14" s="420">
        <f t="shared" ref="G14:G25" si="5">SUM(L14)</f>
        <v>0.7</v>
      </c>
      <c r="H14" s="420">
        <f t="shared" si="3"/>
        <v>4657.8269999999993</v>
      </c>
      <c r="I14" s="420">
        <v>2702.8629999999998</v>
      </c>
      <c r="J14" s="420">
        <v>1954.2639999999999</v>
      </c>
      <c r="K14" s="420"/>
      <c r="L14" s="420">
        <v>0.7</v>
      </c>
      <c r="M14" s="420">
        <f t="shared" si="4"/>
        <v>737.84200000000055</v>
      </c>
      <c r="N14" s="420">
        <v>72.418999999999997</v>
      </c>
      <c r="O14" s="499">
        <v>665.42300000000057</v>
      </c>
      <c r="Q14" s="210">
        <v>2004</v>
      </c>
      <c r="R14" s="584">
        <f t="shared" si="0"/>
        <v>5417.9590700000017</v>
      </c>
      <c r="S14" s="584">
        <f t="shared" si="0"/>
        <v>2815.0040700000009</v>
      </c>
      <c r="T14" s="584">
        <f t="shared" si="0"/>
        <v>2602.2550000000006</v>
      </c>
    </row>
    <row r="15" spans="1:22" x14ac:dyDescent="0.2">
      <c r="B15" s="282">
        <v>2003</v>
      </c>
      <c r="C15" s="1096">
        <f t="shared" si="1"/>
        <v>5421.8069999999998</v>
      </c>
      <c r="D15" s="420">
        <f t="shared" si="2"/>
        <v>2790.2730000000001</v>
      </c>
      <c r="E15" s="420">
        <f t="shared" si="2"/>
        <v>2630.8340000000003</v>
      </c>
      <c r="F15" s="420"/>
      <c r="G15" s="420">
        <f t="shared" si="5"/>
        <v>0.7</v>
      </c>
      <c r="H15" s="420">
        <f t="shared" si="3"/>
        <v>4686.3940000000002</v>
      </c>
      <c r="I15" s="420">
        <v>2720.2290000000003</v>
      </c>
      <c r="J15" s="420">
        <v>1965.4649999999999</v>
      </c>
      <c r="K15" s="420"/>
      <c r="L15" s="420">
        <v>0.7</v>
      </c>
      <c r="M15" s="420">
        <f t="shared" si="4"/>
        <v>735.41300000000035</v>
      </c>
      <c r="N15" s="420">
        <v>70.043999999999983</v>
      </c>
      <c r="O15" s="499">
        <v>665.36900000000037</v>
      </c>
      <c r="Q15" s="210">
        <v>2005</v>
      </c>
      <c r="R15" s="584">
        <f t="shared" si="0"/>
        <v>5610.9250000000002</v>
      </c>
      <c r="S15" s="584">
        <f t="shared" si="0"/>
        <v>2989.203</v>
      </c>
      <c r="T15" s="584">
        <f t="shared" si="0"/>
        <v>2621.0219999999999</v>
      </c>
    </row>
    <row r="16" spans="1:22" x14ac:dyDescent="0.2">
      <c r="B16" s="283">
        <v>2004</v>
      </c>
      <c r="C16" s="1097">
        <f t="shared" si="1"/>
        <v>5417.9590700000017</v>
      </c>
      <c r="D16" s="424">
        <f t="shared" si="2"/>
        <v>2815.0040700000009</v>
      </c>
      <c r="E16" s="424">
        <f t="shared" si="2"/>
        <v>2602.2550000000006</v>
      </c>
      <c r="F16" s="424"/>
      <c r="G16" s="424">
        <f t="shared" si="5"/>
        <v>0.7</v>
      </c>
      <c r="H16" s="424">
        <f t="shared" si="3"/>
        <v>4657.3150700000006</v>
      </c>
      <c r="I16" s="424">
        <v>2747.2720700000009</v>
      </c>
      <c r="J16" s="424">
        <v>1909.3430000000001</v>
      </c>
      <c r="K16" s="424"/>
      <c r="L16" s="424">
        <v>0.7</v>
      </c>
      <c r="M16" s="424">
        <f t="shared" si="4"/>
        <v>760.64400000000035</v>
      </c>
      <c r="N16" s="424">
        <v>67.731999999999999</v>
      </c>
      <c r="O16" s="500">
        <v>692.91200000000038</v>
      </c>
      <c r="Q16" s="210">
        <v>2006</v>
      </c>
      <c r="R16" s="584">
        <f t="shared" si="0"/>
        <v>5873.4000000000005</v>
      </c>
      <c r="S16" s="584">
        <f t="shared" si="0"/>
        <v>2995.9740000000002</v>
      </c>
      <c r="T16" s="584">
        <f t="shared" si="0"/>
        <v>2876.7260000000006</v>
      </c>
    </row>
    <row r="17" spans="2:22" x14ac:dyDescent="0.2">
      <c r="B17" s="282">
        <v>2005</v>
      </c>
      <c r="C17" s="1096">
        <f t="shared" si="1"/>
        <v>5610.9250000000002</v>
      </c>
      <c r="D17" s="427">
        <f t="shared" si="2"/>
        <v>2989.203</v>
      </c>
      <c r="E17" s="427">
        <f t="shared" si="2"/>
        <v>2621.0219999999999</v>
      </c>
      <c r="F17" s="427"/>
      <c r="G17" s="427">
        <f t="shared" si="5"/>
        <v>0.7</v>
      </c>
      <c r="H17" s="427">
        <f t="shared" si="3"/>
        <v>4798.6629999999996</v>
      </c>
      <c r="I17" s="427">
        <v>2918.7730000000001</v>
      </c>
      <c r="J17" s="427">
        <v>1879.1899999999998</v>
      </c>
      <c r="K17" s="427"/>
      <c r="L17" s="427">
        <v>0.7</v>
      </c>
      <c r="M17" s="427">
        <f t="shared" si="4"/>
        <v>812.2620000000004</v>
      </c>
      <c r="N17" s="427">
        <v>70.430000000000007</v>
      </c>
      <c r="O17" s="499">
        <v>741.83200000000033</v>
      </c>
      <c r="Q17" s="585">
        <v>2007</v>
      </c>
      <c r="R17" s="584">
        <f t="shared" si="0"/>
        <v>6352.0139999999983</v>
      </c>
      <c r="S17" s="584">
        <f t="shared" si="0"/>
        <v>3013.297999999998</v>
      </c>
      <c r="T17" s="584">
        <f t="shared" si="0"/>
        <v>3338.0160000000005</v>
      </c>
    </row>
    <row r="18" spans="2:22" x14ac:dyDescent="0.2">
      <c r="B18" s="283">
        <v>2006</v>
      </c>
      <c r="C18" s="1097">
        <f t="shared" si="1"/>
        <v>5873.4000000000005</v>
      </c>
      <c r="D18" s="424">
        <f t="shared" si="2"/>
        <v>2995.9740000000002</v>
      </c>
      <c r="E18" s="424">
        <f t="shared" si="2"/>
        <v>2876.7260000000006</v>
      </c>
      <c r="F18" s="424"/>
      <c r="G18" s="424">
        <f t="shared" si="5"/>
        <v>0.7</v>
      </c>
      <c r="H18" s="424">
        <f t="shared" si="3"/>
        <v>5064.3620000000001</v>
      </c>
      <c r="I18" s="424">
        <v>2926.6179999999999</v>
      </c>
      <c r="J18" s="424">
        <v>2137.0440000000003</v>
      </c>
      <c r="K18" s="424"/>
      <c r="L18" s="424">
        <v>0.7</v>
      </c>
      <c r="M18" s="424">
        <f t="shared" si="4"/>
        <v>809.03800000000001</v>
      </c>
      <c r="N18" s="424">
        <v>69.355999999999995</v>
      </c>
      <c r="O18" s="500">
        <v>739.68200000000002</v>
      </c>
      <c r="Q18" s="210">
        <v>2008</v>
      </c>
      <c r="R18" s="584">
        <f t="shared" si="0"/>
        <v>6348.9440000000004</v>
      </c>
      <c r="S18" s="584">
        <f t="shared" si="0"/>
        <v>3027.9020000000005</v>
      </c>
      <c r="T18" s="584">
        <f t="shared" si="0"/>
        <v>3320.3419999999996</v>
      </c>
    </row>
    <row r="19" spans="2:22" x14ac:dyDescent="0.2">
      <c r="B19" s="282">
        <v>2007</v>
      </c>
      <c r="C19" s="1096">
        <f t="shared" si="1"/>
        <v>6352.0139999999983</v>
      </c>
      <c r="D19" s="427">
        <f t="shared" si="2"/>
        <v>3013.297999999998</v>
      </c>
      <c r="E19" s="427">
        <f t="shared" si="2"/>
        <v>3338.0160000000005</v>
      </c>
      <c r="F19" s="427"/>
      <c r="G19" s="427">
        <f t="shared" si="5"/>
        <v>0.7</v>
      </c>
      <c r="H19" s="427">
        <f t="shared" si="3"/>
        <v>5532.8549999999987</v>
      </c>
      <c r="I19" s="427">
        <v>2939.5869999999982</v>
      </c>
      <c r="J19" s="427">
        <v>2592.5680000000007</v>
      </c>
      <c r="K19" s="427"/>
      <c r="L19" s="427">
        <v>0.7</v>
      </c>
      <c r="M19" s="427">
        <f t="shared" si="4"/>
        <v>819.15900000000011</v>
      </c>
      <c r="N19" s="427">
        <v>73.710999999999984</v>
      </c>
      <c r="O19" s="499">
        <v>745.44800000000009</v>
      </c>
      <c r="Q19" s="210">
        <v>2009</v>
      </c>
      <c r="R19" s="584">
        <f t="shared" si="0"/>
        <v>7256.3469999999998</v>
      </c>
      <c r="S19" s="584">
        <f t="shared" si="0"/>
        <v>3115.768</v>
      </c>
      <c r="T19" s="584">
        <f t="shared" si="0"/>
        <v>4139.8789999999999</v>
      </c>
    </row>
    <row r="20" spans="2:22" x14ac:dyDescent="0.2">
      <c r="B20" s="283">
        <v>2008</v>
      </c>
      <c r="C20" s="1097">
        <f t="shared" si="1"/>
        <v>6348.9440000000004</v>
      </c>
      <c r="D20" s="424">
        <f t="shared" si="2"/>
        <v>3027.9020000000005</v>
      </c>
      <c r="E20" s="424">
        <f t="shared" si="2"/>
        <v>3320.3419999999996</v>
      </c>
      <c r="F20" s="424"/>
      <c r="G20" s="424">
        <f t="shared" si="5"/>
        <v>0.7</v>
      </c>
      <c r="H20" s="424">
        <f t="shared" si="3"/>
        <v>5444.2159999999994</v>
      </c>
      <c r="I20" s="424">
        <v>2953.1210000000005</v>
      </c>
      <c r="J20" s="424">
        <v>2490.3949999999995</v>
      </c>
      <c r="K20" s="424"/>
      <c r="L20" s="424">
        <v>0.7</v>
      </c>
      <c r="M20" s="424">
        <f t="shared" si="4"/>
        <v>904.72799999999995</v>
      </c>
      <c r="N20" s="424">
        <v>74.780999999999977</v>
      </c>
      <c r="O20" s="500">
        <v>829.947</v>
      </c>
      <c r="Q20" s="210">
        <v>2010</v>
      </c>
      <c r="R20" s="584">
        <f t="shared" si="0"/>
        <v>8000.3870000000015</v>
      </c>
      <c r="S20" s="584">
        <f t="shared" si="0"/>
        <v>3317.4450000000006</v>
      </c>
      <c r="T20" s="584">
        <f t="shared" si="0"/>
        <v>4682.2420000000011</v>
      </c>
    </row>
    <row r="21" spans="2:22" x14ac:dyDescent="0.2">
      <c r="B21" s="282">
        <v>2009</v>
      </c>
      <c r="C21" s="1096">
        <f t="shared" si="1"/>
        <v>7256.3469999999998</v>
      </c>
      <c r="D21" s="427">
        <f t="shared" si="2"/>
        <v>3115.768</v>
      </c>
      <c r="E21" s="427">
        <f t="shared" si="2"/>
        <v>4139.8789999999999</v>
      </c>
      <c r="F21" s="427"/>
      <c r="G21" s="427">
        <f t="shared" si="5"/>
        <v>0.7</v>
      </c>
      <c r="H21" s="427">
        <f t="shared" si="3"/>
        <v>6246.4090000000006</v>
      </c>
      <c r="I21" s="427">
        <v>3037.1620000000003</v>
      </c>
      <c r="J21" s="427">
        <v>3208.547</v>
      </c>
      <c r="K21" s="427"/>
      <c r="L21" s="427">
        <v>0.7</v>
      </c>
      <c r="M21" s="427">
        <f t="shared" si="4"/>
        <v>1009.9380000000001</v>
      </c>
      <c r="N21" s="427">
        <v>78.605999999999995</v>
      </c>
      <c r="O21" s="499">
        <v>931.33200000000011</v>
      </c>
      <c r="Q21" s="210">
        <v>2011</v>
      </c>
      <c r="R21" s="584">
        <f t="shared" ref="R21:T23" si="6">C23</f>
        <v>8045.5330000000004</v>
      </c>
      <c r="S21" s="584">
        <f t="shared" si="6"/>
        <v>3328.6240000000003</v>
      </c>
      <c r="T21" s="584">
        <f t="shared" si="6"/>
        <v>4716.2090000000007</v>
      </c>
    </row>
    <row r="22" spans="2:22" x14ac:dyDescent="0.2">
      <c r="B22" s="283">
        <v>2010</v>
      </c>
      <c r="C22" s="1097">
        <f t="shared" si="1"/>
        <v>8000.3870000000015</v>
      </c>
      <c r="D22" s="424">
        <f t="shared" si="2"/>
        <v>3317.4450000000006</v>
      </c>
      <c r="E22" s="424">
        <f t="shared" si="2"/>
        <v>4682.2420000000011</v>
      </c>
      <c r="F22" s="424"/>
      <c r="G22" s="424">
        <f t="shared" si="5"/>
        <v>0.7</v>
      </c>
      <c r="H22" s="424">
        <f t="shared" ref="H22:H27" si="7">SUM(I22:L22)</f>
        <v>6875.0380000000014</v>
      </c>
      <c r="I22" s="424">
        <v>3237.3610000000008</v>
      </c>
      <c r="J22" s="424">
        <v>3636.9770000000008</v>
      </c>
      <c r="K22" s="424"/>
      <c r="L22" s="424">
        <v>0.7</v>
      </c>
      <c r="M22" s="424">
        <f t="shared" si="4"/>
        <v>1125.3490000000004</v>
      </c>
      <c r="N22" s="424">
        <v>80.084000000000003</v>
      </c>
      <c r="O22" s="500">
        <v>1045.2650000000003</v>
      </c>
      <c r="Q22" s="210">
        <v>2012</v>
      </c>
      <c r="R22" s="584">
        <f t="shared" si="6"/>
        <v>8939.2570000000014</v>
      </c>
      <c r="S22" s="584">
        <f t="shared" si="6"/>
        <v>3360.136</v>
      </c>
      <c r="T22" s="584">
        <f t="shared" si="6"/>
        <v>5498.4210000000003</v>
      </c>
      <c r="U22" s="586">
        <f t="shared" ref="U22:U27" si="8">F24</f>
        <v>80</v>
      </c>
      <c r="V22" s="586"/>
    </row>
    <row r="23" spans="2:22" x14ac:dyDescent="0.2">
      <c r="B23" s="282">
        <v>2011</v>
      </c>
      <c r="C23" s="1096">
        <f t="shared" ref="C23:C28" si="9">SUM(D23:G23)</f>
        <v>8045.5330000000004</v>
      </c>
      <c r="D23" s="420">
        <f t="shared" ref="D23:E26" si="10">SUM(I23,N23)</f>
        <v>3328.6240000000003</v>
      </c>
      <c r="E23" s="420">
        <f t="shared" si="10"/>
        <v>4716.2090000000007</v>
      </c>
      <c r="F23" s="420"/>
      <c r="G23" s="420">
        <f t="shared" si="5"/>
        <v>0.7</v>
      </c>
      <c r="H23" s="420">
        <f t="shared" si="7"/>
        <v>6867.8210000000008</v>
      </c>
      <c r="I23" s="420">
        <v>3246.6250000000005</v>
      </c>
      <c r="J23" s="420">
        <v>3620.4960000000005</v>
      </c>
      <c r="K23" s="420"/>
      <c r="L23" s="420">
        <v>0.7</v>
      </c>
      <c r="M23" s="420">
        <f t="shared" ref="M23:M31" si="11">SUM(N23:O23)</f>
        <v>1177.712</v>
      </c>
      <c r="N23" s="420">
        <v>81.998999999999995</v>
      </c>
      <c r="O23" s="499">
        <v>1095.713</v>
      </c>
      <c r="Q23" s="210">
        <v>2013</v>
      </c>
      <c r="R23" s="584">
        <f t="shared" si="6"/>
        <v>9885.2720000000008</v>
      </c>
      <c r="S23" s="584">
        <f t="shared" si="6"/>
        <v>3414.4079999999994</v>
      </c>
      <c r="T23" s="584">
        <f t="shared" si="6"/>
        <v>6390.1639999999998</v>
      </c>
      <c r="U23" s="586">
        <f t="shared" si="8"/>
        <v>80</v>
      </c>
      <c r="V23" s="586"/>
    </row>
    <row r="24" spans="2:22" x14ac:dyDescent="0.2">
      <c r="B24" s="286">
        <v>2012</v>
      </c>
      <c r="C24" s="1098">
        <f t="shared" si="9"/>
        <v>8939.2570000000014</v>
      </c>
      <c r="D24" s="424">
        <f t="shared" si="10"/>
        <v>3360.136</v>
      </c>
      <c r="E24" s="424">
        <f t="shared" si="10"/>
        <v>5498.4210000000003</v>
      </c>
      <c r="F24" s="424">
        <f t="shared" ref="F24:F29" si="12">SUM(K24)</f>
        <v>80</v>
      </c>
      <c r="G24" s="424">
        <f t="shared" si="5"/>
        <v>0.7</v>
      </c>
      <c r="H24" s="424">
        <f t="shared" si="7"/>
        <v>7754.9049999999997</v>
      </c>
      <c r="I24" s="424">
        <v>3270.5969999999998</v>
      </c>
      <c r="J24" s="424">
        <v>4403.6080000000002</v>
      </c>
      <c r="K24" s="424">
        <v>80</v>
      </c>
      <c r="L24" s="424">
        <v>0.7</v>
      </c>
      <c r="M24" s="424">
        <f t="shared" si="11"/>
        <v>1184.3520000000001</v>
      </c>
      <c r="N24" s="424">
        <v>89.539000000000016</v>
      </c>
      <c r="O24" s="500">
        <v>1094.8130000000001</v>
      </c>
      <c r="Q24" s="210">
        <v>2014</v>
      </c>
      <c r="R24" s="584">
        <f t="shared" ref="R24:T25" si="13">C26</f>
        <v>10269.342000000002</v>
      </c>
      <c r="S24" s="584">
        <f t="shared" si="13"/>
        <v>3527.2880000000005</v>
      </c>
      <c r="T24" s="584">
        <f t="shared" si="13"/>
        <v>6503.3540000000012</v>
      </c>
      <c r="U24" s="586">
        <f t="shared" si="8"/>
        <v>96</v>
      </c>
      <c r="V24" s="586">
        <f t="shared" ref="V24:V29" si="14">G26</f>
        <v>142.69999999999999</v>
      </c>
    </row>
    <row r="25" spans="2:22" x14ac:dyDescent="0.2">
      <c r="B25" s="287">
        <v>2013</v>
      </c>
      <c r="C25" s="1099">
        <f t="shared" si="9"/>
        <v>9885.2720000000008</v>
      </c>
      <c r="D25" s="427">
        <f t="shared" si="10"/>
        <v>3414.4079999999994</v>
      </c>
      <c r="E25" s="427">
        <f t="shared" si="10"/>
        <v>6390.1639999999998</v>
      </c>
      <c r="F25" s="427">
        <f t="shared" si="12"/>
        <v>80</v>
      </c>
      <c r="G25" s="427">
        <f t="shared" si="5"/>
        <v>0.7</v>
      </c>
      <c r="H25" s="427">
        <f t="shared" si="7"/>
        <v>8680.4210000000003</v>
      </c>
      <c r="I25" s="427">
        <v>3337.0359999999996</v>
      </c>
      <c r="J25" s="427">
        <v>5262.6849999999995</v>
      </c>
      <c r="K25" s="427">
        <v>80</v>
      </c>
      <c r="L25" s="427">
        <v>0.7</v>
      </c>
      <c r="M25" s="427">
        <f t="shared" si="11"/>
        <v>1204.8510000000001</v>
      </c>
      <c r="N25" s="427">
        <v>77.372</v>
      </c>
      <c r="O25" s="499">
        <v>1127.479</v>
      </c>
      <c r="Q25" s="210">
        <v>2015</v>
      </c>
      <c r="R25" s="584">
        <f t="shared" si="13"/>
        <v>11230.439999999999</v>
      </c>
      <c r="S25" s="584">
        <f t="shared" si="13"/>
        <v>4019.8180000000002</v>
      </c>
      <c r="T25" s="584">
        <f t="shared" si="13"/>
        <v>6874.8220000000001</v>
      </c>
      <c r="U25" s="586">
        <f t="shared" si="8"/>
        <v>96</v>
      </c>
      <c r="V25" s="586">
        <f t="shared" si="14"/>
        <v>239.79999999999998</v>
      </c>
    </row>
    <row r="26" spans="2:22" x14ac:dyDescent="0.2">
      <c r="B26" s="302">
        <v>2014</v>
      </c>
      <c r="C26" s="1098">
        <f t="shared" si="9"/>
        <v>10269.342000000002</v>
      </c>
      <c r="D26" s="424">
        <f t="shared" si="10"/>
        <v>3527.2880000000005</v>
      </c>
      <c r="E26" s="424">
        <f t="shared" si="10"/>
        <v>6503.3540000000012</v>
      </c>
      <c r="F26" s="424">
        <f t="shared" si="12"/>
        <v>96</v>
      </c>
      <c r="G26" s="424">
        <f t="shared" ref="G26:G31" si="15">SUM(L26)</f>
        <v>142.69999999999999</v>
      </c>
      <c r="H26" s="424">
        <f t="shared" si="7"/>
        <v>9082.8000000000029</v>
      </c>
      <c r="I26" s="424">
        <v>3435.9410000000007</v>
      </c>
      <c r="J26" s="424">
        <v>5408.1590000000015</v>
      </c>
      <c r="K26" s="424">
        <v>96</v>
      </c>
      <c r="L26" s="424">
        <v>142.69999999999999</v>
      </c>
      <c r="M26" s="424">
        <f t="shared" si="11"/>
        <v>1186.5420000000001</v>
      </c>
      <c r="N26" s="424">
        <v>91.34699999999998</v>
      </c>
      <c r="O26" s="500">
        <v>1095.1950000000002</v>
      </c>
      <c r="Q26" s="210">
        <v>2016</v>
      </c>
      <c r="R26" s="584">
        <f t="shared" ref="R26:T27" si="16">C28</f>
        <v>13642.506100000006</v>
      </c>
      <c r="S26" s="584">
        <f t="shared" si="16"/>
        <v>5086.3390000000027</v>
      </c>
      <c r="T26" s="584">
        <f t="shared" si="16"/>
        <v>8220.2171000000017</v>
      </c>
      <c r="U26" s="586">
        <f t="shared" si="8"/>
        <v>96</v>
      </c>
      <c r="V26" s="586">
        <f t="shared" si="14"/>
        <v>239.95</v>
      </c>
    </row>
    <row r="27" spans="2:22" x14ac:dyDescent="0.2">
      <c r="B27" s="287">
        <v>2015</v>
      </c>
      <c r="C27" s="1099">
        <f t="shared" si="9"/>
        <v>11230.439999999999</v>
      </c>
      <c r="D27" s="427">
        <f t="shared" ref="D27:E29" si="17">SUM(I27,N27)</f>
        <v>4019.8180000000002</v>
      </c>
      <c r="E27" s="427">
        <f t="shared" si="17"/>
        <v>6874.8220000000001</v>
      </c>
      <c r="F27" s="427">
        <f t="shared" si="12"/>
        <v>96</v>
      </c>
      <c r="G27" s="427">
        <f t="shared" si="15"/>
        <v>239.79999999999998</v>
      </c>
      <c r="H27" s="427">
        <f t="shared" si="7"/>
        <v>10028.284</v>
      </c>
      <c r="I27" s="427">
        <v>3928.0910000000003</v>
      </c>
      <c r="J27" s="427">
        <v>5764.3930000000009</v>
      </c>
      <c r="K27" s="427">
        <v>96</v>
      </c>
      <c r="L27" s="427">
        <v>239.79999999999998</v>
      </c>
      <c r="M27" s="427">
        <f t="shared" si="11"/>
        <v>1202.1559999999997</v>
      </c>
      <c r="N27" s="427">
        <v>91.72699999999999</v>
      </c>
      <c r="O27" s="499">
        <v>1110.4289999999996</v>
      </c>
      <c r="Q27" s="210">
        <v>2017</v>
      </c>
      <c r="R27" s="584">
        <f t="shared" si="16"/>
        <v>13852.100280000006</v>
      </c>
      <c r="S27" s="584">
        <f t="shared" si="16"/>
        <v>5158.2106799999983</v>
      </c>
      <c r="T27" s="584">
        <f t="shared" si="16"/>
        <v>8213.4556000000066</v>
      </c>
      <c r="U27" s="586">
        <f t="shared" si="8"/>
        <v>240.48400000000001</v>
      </c>
      <c r="V27" s="586">
        <f t="shared" si="14"/>
        <v>239.95</v>
      </c>
    </row>
    <row r="28" spans="2:22" x14ac:dyDescent="0.2">
      <c r="B28" s="526">
        <v>2016</v>
      </c>
      <c r="C28" s="1100">
        <f t="shared" si="9"/>
        <v>13642.506100000006</v>
      </c>
      <c r="D28" s="424">
        <f t="shared" si="17"/>
        <v>5086.3390000000027</v>
      </c>
      <c r="E28" s="424">
        <f t="shared" si="17"/>
        <v>8220.2171000000017</v>
      </c>
      <c r="F28" s="424">
        <f t="shared" si="12"/>
        <v>96</v>
      </c>
      <c r="G28" s="424">
        <f t="shared" si="15"/>
        <v>239.95</v>
      </c>
      <c r="H28" s="424">
        <f>SUM(I28:L28)</f>
        <v>12450.708000000004</v>
      </c>
      <c r="I28" s="424">
        <v>4983.9800000000023</v>
      </c>
      <c r="J28" s="424">
        <v>7130.7780000000012</v>
      </c>
      <c r="K28" s="424">
        <v>96</v>
      </c>
      <c r="L28" s="424">
        <v>239.95</v>
      </c>
      <c r="M28" s="424">
        <f t="shared" si="11"/>
        <v>1191.7980999999997</v>
      </c>
      <c r="N28" s="424">
        <v>102.35899999999999</v>
      </c>
      <c r="O28" s="500">
        <v>1089.4390999999998</v>
      </c>
      <c r="Q28" s="210">
        <v>2018</v>
      </c>
      <c r="R28" s="584">
        <f t="shared" ref="R28:U29" si="18">C30</f>
        <v>14366.256100000006</v>
      </c>
      <c r="S28" s="584">
        <f t="shared" si="18"/>
        <v>5291.833999999998</v>
      </c>
      <c r="T28" s="584">
        <f t="shared" si="18"/>
        <v>8421.6881000000067</v>
      </c>
      <c r="U28" s="586">
        <f t="shared" si="18"/>
        <v>280.48400000000004</v>
      </c>
      <c r="V28" s="586">
        <f t="shared" si="14"/>
        <v>372.24999999999994</v>
      </c>
    </row>
    <row r="29" spans="2:22" x14ac:dyDescent="0.2">
      <c r="B29" s="287">
        <v>2017</v>
      </c>
      <c r="C29" s="1099">
        <f>SUM(D29:G29)</f>
        <v>13852.100280000006</v>
      </c>
      <c r="D29" s="436">
        <f t="shared" si="17"/>
        <v>5158.2106799999983</v>
      </c>
      <c r="E29" s="436">
        <f t="shared" si="17"/>
        <v>8213.4556000000066</v>
      </c>
      <c r="F29" s="436">
        <f t="shared" si="12"/>
        <v>240.48400000000001</v>
      </c>
      <c r="G29" s="436">
        <f t="shared" si="15"/>
        <v>239.95</v>
      </c>
      <c r="H29" s="436">
        <f>SUM(I29:L29)</f>
        <v>12631.256180000006</v>
      </c>
      <c r="I29" s="436">
        <v>5041.6326799999988</v>
      </c>
      <c r="J29" s="435">
        <v>7109.1895000000059</v>
      </c>
      <c r="K29" s="436">
        <v>240.48400000000001</v>
      </c>
      <c r="L29" s="436">
        <v>239.95</v>
      </c>
      <c r="M29" s="436">
        <f t="shared" si="11"/>
        <v>1220.8441</v>
      </c>
      <c r="N29" s="436">
        <v>116.57799999999997</v>
      </c>
      <c r="O29" s="527">
        <v>1104.2661000000001</v>
      </c>
      <c r="Q29" s="210">
        <v>2019</v>
      </c>
      <c r="R29" s="584">
        <f t="shared" si="18"/>
        <v>14378.893100000001</v>
      </c>
      <c r="S29" s="584">
        <f t="shared" si="18"/>
        <v>5354.6509999999926</v>
      </c>
      <c r="T29" s="584">
        <f t="shared" si="18"/>
        <v>8366.9581000000089</v>
      </c>
      <c r="U29" s="586">
        <f t="shared" si="18"/>
        <v>285.03399999999999</v>
      </c>
      <c r="V29" s="586">
        <f t="shared" si="14"/>
        <v>372.24999999999994</v>
      </c>
    </row>
    <row r="30" spans="2:22" x14ac:dyDescent="0.2">
      <c r="B30" s="526">
        <v>2018</v>
      </c>
      <c r="C30" s="1100">
        <f>SUM(D30:G30)</f>
        <v>14366.256100000006</v>
      </c>
      <c r="D30" s="424">
        <f>SUM(I30,N30)</f>
        <v>5291.833999999998</v>
      </c>
      <c r="E30" s="424">
        <f>SUM(J30,O30)</f>
        <v>8421.6881000000067</v>
      </c>
      <c r="F30" s="424">
        <f>SUM(K30)</f>
        <v>280.48400000000004</v>
      </c>
      <c r="G30" s="424">
        <f t="shared" si="15"/>
        <v>372.24999999999994</v>
      </c>
      <c r="H30" s="424">
        <f>SUM(I30:L30)</f>
        <v>13145.596000000005</v>
      </c>
      <c r="I30" s="424">
        <v>5174.4699999999984</v>
      </c>
      <c r="J30" s="424">
        <v>7318.3920000000062</v>
      </c>
      <c r="K30" s="424">
        <v>280.48400000000004</v>
      </c>
      <c r="L30" s="424">
        <v>372.24999999999994</v>
      </c>
      <c r="M30" s="424">
        <f>SUM(N30:O30)</f>
        <v>1220.6601000000005</v>
      </c>
      <c r="N30" s="424">
        <v>117.36399999999998</v>
      </c>
      <c r="O30" s="500">
        <v>1103.2961000000005</v>
      </c>
      <c r="R30" s="584"/>
      <c r="S30" s="584"/>
      <c r="T30" s="584"/>
      <c r="U30" s="586"/>
      <c r="V30" s="586"/>
    </row>
    <row r="31" spans="2:22" x14ac:dyDescent="0.2">
      <c r="B31" s="1244">
        <v>2019</v>
      </c>
      <c r="C31" s="1099">
        <f>SUM(D31:G31)</f>
        <v>14378.893100000001</v>
      </c>
      <c r="D31" s="436">
        <f t="shared" ref="D31" si="19">SUM(I31,N31)</f>
        <v>5354.6509999999926</v>
      </c>
      <c r="E31" s="436">
        <f t="shared" ref="E31" si="20">SUM(J31,O31)</f>
        <v>8366.9581000000089</v>
      </c>
      <c r="F31" s="436">
        <f t="shared" ref="F31" si="21">SUM(K31)</f>
        <v>285.03399999999999</v>
      </c>
      <c r="G31" s="436">
        <f t="shared" si="15"/>
        <v>372.24999999999994</v>
      </c>
      <c r="H31" s="436">
        <f>SUM(I31:L31)</f>
        <v>13159.246999999999</v>
      </c>
      <c r="I31" s="436">
        <v>5236.2709999999925</v>
      </c>
      <c r="J31" s="435">
        <v>7265.6920000000082</v>
      </c>
      <c r="K31" s="436">
        <v>285.03399999999999</v>
      </c>
      <c r="L31" s="436">
        <v>372.24999999999994</v>
      </c>
      <c r="M31" s="436">
        <f t="shared" si="11"/>
        <v>1219.6461000000011</v>
      </c>
      <c r="N31" s="436">
        <v>118.37999999999997</v>
      </c>
      <c r="O31" s="527">
        <v>1101.2661000000012</v>
      </c>
      <c r="R31" s="584"/>
      <c r="S31" s="584"/>
      <c r="T31" s="584"/>
      <c r="U31" s="586"/>
      <c r="V31" s="586"/>
    </row>
    <row r="32" spans="2:22" ht="13.5" thickBot="1" x14ac:dyDescent="0.25">
      <c r="B32" s="501"/>
      <c r="C32" s="502"/>
      <c r="D32" s="503"/>
      <c r="E32" s="504"/>
      <c r="F32" s="288"/>
      <c r="G32" s="288"/>
      <c r="H32" s="503"/>
      <c r="I32" s="288"/>
      <c r="J32" s="504"/>
      <c r="K32" s="288"/>
      <c r="L32" s="288"/>
      <c r="M32" s="503"/>
      <c r="N32" s="288"/>
      <c r="O32" s="505"/>
      <c r="R32" s="584"/>
      <c r="S32" s="584"/>
      <c r="T32" s="584"/>
    </row>
    <row r="33" spans="2:22" x14ac:dyDescent="0.2">
      <c r="B33" s="55" t="s">
        <v>356</v>
      </c>
      <c r="C33" s="1081">
        <f>(C31/C30)-1</f>
        <v>8.7963070629060169E-4</v>
      </c>
      <c r="D33" s="1081">
        <f t="shared" ref="D33:G33" si="22">(D31/D30)-1</f>
        <v>1.1870553762645342E-2</v>
      </c>
      <c r="E33" s="1081">
        <f t="shared" si="22"/>
        <v>-6.4986970961318224E-3</v>
      </c>
      <c r="F33" s="1081">
        <f t="shared" si="22"/>
        <v>1.6221959184837376E-2</v>
      </c>
      <c r="G33" s="1081">
        <f t="shared" si="22"/>
        <v>0</v>
      </c>
      <c r="H33" s="1081">
        <f>(H31/H30)-1</f>
        <v>1.0384466402280079E-3</v>
      </c>
      <c r="I33" s="1081">
        <f t="shared" ref="I33:L33" si="23">(I31/I30)-1</f>
        <v>1.1943445415664611E-2</v>
      </c>
      <c r="J33" s="1081">
        <f t="shared" si="23"/>
        <v>-7.2010354187092007E-3</v>
      </c>
      <c r="K33" s="1081">
        <f t="shared" si="23"/>
        <v>1.6221959184837376E-2</v>
      </c>
      <c r="L33" s="1081">
        <f t="shared" si="23"/>
        <v>0</v>
      </c>
      <c r="M33" s="1081">
        <f>(M31/M30)-1</f>
        <v>-8.3069807885050029E-4</v>
      </c>
      <c r="N33" s="1081">
        <f>(N31/N30)-1</f>
        <v>8.6568283289594206E-3</v>
      </c>
      <c r="O33" s="1081">
        <f>(O31/O30)-1</f>
        <v>-1.8399412451465258E-3</v>
      </c>
      <c r="R33" s="584"/>
      <c r="S33" s="584"/>
      <c r="T33" s="584"/>
    </row>
    <row r="34" spans="2:22" x14ac:dyDescent="0.2">
      <c r="B34" s="269" t="s">
        <v>357</v>
      </c>
      <c r="C34" s="1082">
        <f>((C31/C26)^(1/5))-1</f>
        <v>6.9637370028746481E-2</v>
      </c>
      <c r="D34" s="1082">
        <f t="shared" ref="D34:G34" si="24">((D31/D26)^(1/5))-1</f>
        <v>8.7071349679332277E-2</v>
      </c>
      <c r="E34" s="1082">
        <f t="shared" si="24"/>
        <v>5.1685872186789661E-2</v>
      </c>
      <c r="F34" s="1082">
        <f t="shared" si="24"/>
        <v>0.24315444421196153</v>
      </c>
      <c r="G34" s="1082">
        <f t="shared" si="24"/>
        <v>0.21138487437420528</v>
      </c>
      <c r="H34" s="1082">
        <f>((H31/H26)^(1/5))-1</f>
        <v>7.6966656471851413E-2</v>
      </c>
      <c r="I34" s="1082">
        <f t="shared" ref="I34:L34" si="25">((I31/I26)^(1/5))-1</f>
        <v>8.7915798316721583E-2</v>
      </c>
      <c r="J34" s="1082">
        <f t="shared" si="25"/>
        <v>6.0829300177406065E-2</v>
      </c>
      <c r="K34" s="1082">
        <f t="shared" si="25"/>
        <v>0.24315444421196153</v>
      </c>
      <c r="L34" s="1082">
        <f t="shared" si="25"/>
        <v>0.21138487437420528</v>
      </c>
      <c r="M34" s="1082">
        <f>((M31/M26)^(1/5))-1</f>
        <v>5.5186801606532665E-3</v>
      </c>
      <c r="N34" s="1082">
        <f>((N31/N26)^(1/5))-1</f>
        <v>5.321445095107058E-2</v>
      </c>
      <c r="O34" s="1082">
        <f>((O31/O26)^(1/5))-1</f>
        <v>1.1062290817531739E-3</v>
      </c>
      <c r="R34" s="584"/>
      <c r="S34" s="584"/>
      <c r="T34" s="584"/>
    </row>
    <row r="35" spans="2:22" x14ac:dyDescent="0.2">
      <c r="B35" s="270" t="s">
        <v>346</v>
      </c>
      <c r="C35" s="1083">
        <f>(C31/C21)-1</f>
        <v>0.98156084597387672</v>
      </c>
      <c r="D35" s="1083">
        <f t="shared" ref="D35:E35" si="26">(D31/D21)-1</f>
        <v>0.71856537457217362</v>
      </c>
      <c r="E35" s="1083">
        <f t="shared" si="26"/>
        <v>1.021063441709289</v>
      </c>
      <c r="F35" s="1083" t="s">
        <v>75</v>
      </c>
      <c r="G35" s="1083" t="s">
        <v>75</v>
      </c>
      <c r="H35" s="1083">
        <f>(H31/H21)-1</f>
        <v>1.1066899397717949</v>
      </c>
      <c r="I35" s="1083">
        <f t="shared" ref="I35:J35" si="27">(I31/I21)-1</f>
        <v>0.72406707314262198</v>
      </c>
      <c r="J35" s="1083">
        <f t="shared" si="27"/>
        <v>1.2644804642101262</v>
      </c>
      <c r="K35" s="1083" t="s">
        <v>75</v>
      </c>
      <c r="L35" s="1083" t="s">
        <v>75</v>
      </c>
      <c r="M35" s="1083">
        <f>(M31/M21)-1</f>
        <v>0.20764452867403826</v>
      </c>
      <c r="N35" s="1083">
        <f>(N31/N21)-1</f>
        <v>0.5059919090145788</v>
      </c>
      <c r="O35" s="1083">
        <f>(O31/O21)-1</f>
        <v>0.18246350388475974</v>
      </c>
    </row>
    <row r="36" spans="2:22" ht="12.75" customHeight="1" thickBot="1" x14ac:dyDescent="0.25">
      <c r="B36" s="271" t="s">
        <v>347</v>
      </c>
      <c r="C36" s="1079">
        <f>((C31/C21)^(1/10))-1</f>
        <v>7.078120907722929E-2</v>
      </c>
      <c r="D36" s="1079">
        <f t="shared" ref="D36:E36" si="28">((D31/D21)^(1/10))-1</f>
        <v>5.564186611219113E-2</v>
      </c>
      <c r="E36" s="1079">
        <f t="shared" si="28"/>
        <v>7.2896910328152931E-2</v>
      </c>
      <c r="F36" s="1079" t="s">
        <v>75</v>
      </c>
      <c r="G36" s="1079" t="s">
        <v>75</v>
      </c>
      <c r="H36" s="1079">
        <f>((H31/H21)^(1/10))-1</f>
        <v>7.7358052694371349E-2</v>
      </c>
      <c r="I36" s="1079">
        <f t="shared" ref="I36:J36" si="29">((I31/I21)^(1/10))-1</f>
        <v>5.5979326275691355E-2</v>
      </c>
      <c r="J36" s="1079">
        <f t="shared" si="29"/>
        <v>8.5167698306134909E-2</v>
      </c>
      <c r="K36" s="1079" t="s">
        <v>75</v>
      </c>
      <c r="L36" s="1079" t="s">
        <v>75</v>
      </c>
      <c r="M36" s="1079">
        <f>((M31/M21)^(1/10))-1</f>
        <v>1.904628907128636E-2</v>
      </c>
      <c r="N36" s="1079">
        <f>((N31/N21)^(1/10))-1</f>
        <v>4.179498828453676E-2</v>
      </c>
      <c r="O36" s="1084">
        <f>((O31/O21)^(1/10))-1</f>
        <v>1.6901234439628876E-2</v>
      </c>
    </row>
    <row r="37" spans="2:22" ht="15.75" customHeight="1" x14ac:dyDescent="0.2">
      <c r="B37" s="247" t="s">
        <v>241</v>
      </c>
      <c r="R37" s="210" t="s">
        <v>46</v>
      </c>
    </row>
    <row r="38" spans="2:22" x14ac:dyDescent="0.2">
      <c r="B38" s="247"/>
      <c r="R38" s="210" t="s">
        <v>0</v>
      </c>
      <c r="S38" s="210" t="s">
        <v>4</v>
      </c>
      <c r="T38" s="210" t="s">
        <v>5</v>
      </c>
      <c r="U38" s="210" t="s">
        <v>58</v>
      </c>
      <c r="V38" s="210" t="s">
        <v>189</v>
      </c>
    </row>
    <row r="39" spans="2:22" x14ac:dyDescent="0.2">
      <c r="Q39" s="210">
        <v>1995</v>
      </c>
      <c r="R39" s="584">
        <f t="shared" ref="R39:T57" si="30">H7</f>
        <v>3195.3919999999998</v>
      </c>
      <c r="S39" s="584">
        <f t="shared" si="30"/>
        <v>2205.915</v>
      </c>
      <c r="T39" s="584">
        <f t="shared" si="30"/>
        <v>989.47699999999998</v>
      </c>
    </row>
    <row r="40" spans="2:22" x14ac:dyDescent="0.2">
      <c r="Q40" s="210">
        <v>1996</v>
      </c>
      <c r="R40" s="584">
        <f t="shared" si="30"/>
        <v>2879.5010000000002</v>
      </c>
      <c r="S40" s="584">
        <f t="shared" si="30"/>
        <v>1924.8510000000001</v>
      </c>
      <c r="T40" s="584">
        <f t="shared" si="30"/>
        <v>954.4</v>
      </c>
    </row>
    <row r="41" spans="2:22" x14ac:dyDescent="0.2">
      <c r="Q41" s="210">
        <v>1997</v>
      </c>
      <c r="R41" s="584">
        <f t="shared" si="30"/>
        <v>3826.8329999999996</v>
      </c>
      <c r="S41" s="584">
        <f t="shared" si="30"/>
        <v>2120.1709999999998</v>
      </c>
      <c r="T41" s="584">
        <f t="shared" si="30"/>
        <v>1706.4119999999998</v>
      </c>
    </row>
    <row r="42" spans="2:22" x14ac:dyDescent="0.2">
      <c r="Q42" s="210">
        <v>1998</v>
      </c>
      <c r="R42" s="584">
        <f t="shared" si="30"/>
        <v>4020.8509999999997</v>
      </c>
      <c r="S42" s="584">
        <f t="shared" si="30"/>
        <v>2022.9019999999998</v>
      </c>
      <c r="T42" s="584">
        <f t="shared" si="30"/>
        <v>1997.6489999999999</v>
      </c>
    </row>
    <row r="43" spans="2:22" x14ac:dyDescent="0.2">
      <c r="Q43" s="210">
        <v>1999</v>
      </c>
      <c r="R43" s="584">
        <f t="shared" si="30"/>
        <v>4317.9289999999992</v>
      </c>
      <c r="S43" s="584">
        <f t="shared" si="30"/>
        <v>2242.625</v>
      </c>
      <c r="T43" s="584">
        <f t="shared" si="30"/>
        <v>2074.6039999999998</v>
      </c>
    </row>
    <row r="44" spans="2:22" x14ac:dyDescent="0.2">
      <c r="Q44" s="210">
        <v>2000</v>
      </c>
      <c r="R44" s="584">
        <f t="shared" si="30"/>
        <v>4775.9350000000004</v>
      </c>
      <c r="S44" s="584">
        <f t="shared" si="30"/>
        <v>2575.9240000000004</v>
      </c>
      <c r="T44" s="584">
        <f t="shared" si="30"/>
        <v>2199.3110000000001</v>
      </c>
    </row>
    <row r="45" spans="2:22" x14ac:dyDescent="0.2">
      <c r="Q45" s="210">
        <v>2001</v>
      </c>
      <c r="R45" s="584">
        <f t="shared" si="30"/>
        <v>4642.0639999999994</v>
      </c>
      <c r="S45" s="584">
        <f t="shared" si="30"/>
        <v>2674.8349999999996</v>
      </c>
      <c r="T45" s="584">
        <f t="shared" si="30"/>
        <v>1966.529</v>
      </c>
    </row>
    <row r="46" spans="2:22" x14ac:dyDescent="0.2">
      <c r="Q46" s="585">
        <v>2002</v>
      </c>
      <c r="R46" s="584">
        <f t="shared" si="30"/>
        <v>4657.8269999999993</v>
      </c>
      <c r="S46" s="584">
        <f t="shared" si="30"/>
        <v>2702.8629999999998</v>
      </c>
      <c r="T46" s="584">
        <f t="shared" si="30"/>
        <v>1954.2639999999999</v>
      </c>
    </row>
    <row r="47" spans="2:22" x14ac:dyDescent="0.2">
      <c r="Q47" s="210">
        <v>2003</v>
      </c>
      <c r="R47" s="584">
        <f t="shared" si="30"/>
        <v>4686.3940000000002</v>
      </c>
      <c r="S47" s="584">
        <f t="shared" si="30"/>
        <v>2720.2290000000003</v>
      </c>
      <c r="T47" s="584">
        <f t="shared" si="30"/>
        <v>1965.4649999999999</v>
      </c>
    </row>
    <row r="48" spans="2:22" x14ac:dyDescent="0.2">
      <c r="Q48" s="210">
        <v>2004</v>
      </c>
      <c r="R48" s="584">
        <f t="shared" si="30"/>
        <v>4657.3150700000006</v>
      </c>
      <c r="S48" s="584">
        <f t="shared" si="30"/>
        <v>2747.2720700000009</v>
      </c>
      <c r="T48" s="584">
        <f t="shared" si="30"/>
        <v>1909.3430000000001</v>
      </c>
    </row>
    <row r="49" spans="17:22" x14ac:dyDescent="0.2">
      <c r="Q49" s="210">
        <v>2005</v>
      </c>
      <c r="R49" s="584">
        <f t="shared" si="30"/>
        <v>4798.6629999999996</v>
      </c>
      <c r="S49" s="584">
        <f t="shared" si="30"/>
        <v>2918.7730000000001</v>
      </c>
      <c r="T49" s="584">
        <f t="shared" si="30"/>
        <v>1879.1899999999998</v>
      </c>
    </row>
    <row r="50" spans="17:22" x14ac:dyDescent="0.2">
      <c r="Q50" s="210">
        <v>2006</v>
      </c>
      <c r="R50" s="584">
        <f t="shared" si="30"/>
        <v>5064.3620000000001</v>
      </c>
      <c r="S50" s="584">
        <f t="shared" si="30"/>
        <v>2926.6179999999999</v>
      </c>
      <c r="T50" s="584">
        <f t="shared" si="30"/>
        <v>2137.0440000000003</v>
      </c>
    </row>
    <row r="51" spans="17:22" x14ac:dyDescent="0.2">
      <c r="Q51" s="585">
        <v>2007</v>
      </c>
      <c r="R51" s="584">
        <f t="shared" si="30"/>
        <v>5532.8549999999987</v>
      </c>
      <c r="S51" s="584">
        <f t="shared" si="30"/>
        <v>2939.5869999999982</v>
      </c>
      <c r="T51" s="584">
        <f t="shared" si="30"/>
        <v>2592.5680000000007</v>
      </c>
    </row>
    <row r="52" spans="17:22" x14ac:dyDescent="0.2">
      <c r="Q52" s="210">
        <v>2008</v>
      </c>
      <c r="R52" s="584">
        <f t="shared" si="30"/>
        <v>5444.2159999999994</v>
      </c>
      <c r="S52" s="584">
        <f t="shared" si="30"/>
        <v>2953.1210000000005</v>
      </c>
      <c r="T52" s="584">
        <f t="shared" si="30"/>
        <v>2490.3949999999995</v>
      </c>
    </row>
    <row r="53" spans="17:22" x14ac:dyDescent="0.2">
      <c r="Q53" s="210">
        <v>2009</v>
      </c>
      <c r="R53" s="584">
        <f t="shared" si="30"/>
        <v>6246.4090000000006</v>
      </c>
      <c r="S53" s="584">
        <f t="shared" si="30"/>
        <v>3037.1620000000003</v>
      </c>
      <c r="T53" s="584">
        <f t="shared" si="30"/>
        <v>3208.547</v>
      </c>
    </row>
    <row r="54" spans="17:22" x14ac:dyDescent="0.2">
      <c r="Q54" s="210">
        <v>2010</v>
      </c>
      <c r="R54" s="584">
        <f t="shared" si="30"/>
        <v>6875.0380000000014</v>
      </c>
      <c r="S54" s="210">
        <f t="shared" si="30"/>
        <v>3237.3610000000008</v>
      </c>
      <c r="T54" s="210">
        <f t="shared" si="30"/>
        <v>3636.9770000000008</v>
      </c>
    </row>
    <row r="55" spans="17:22" x14ac:dyDescent="0.2">
      <c r="Q55" s="210">
        <v>2011</v>
      </c>
      <c r="R55" s="584">
        <f t="shared" si="30"/>
        <v>6867.8210000000008</v>
      </c>
      <c r="S55" s="210">
        <f t="shared" si="30"/>
        <v>3246.6250000000005</v>
      </c>
      <c r="T55" s="210">
        <f t="shared" si="30"/>
        <v>3620.4960000000005</v>
      </c>
    </row>
    <row r="56" spans="17:22" x14ac:dyDescent="0.2">
      <c r="Q56" s="210">
        <v>2012</v>
      </c>
      <c r="R56" s="584">
        <f t="shared" si="30"/>
        <v>7754.9049999999997</v>
      </c>
      <c r="S56" s="210">
        <f t="shared" si="30"/>
        <v>3270.5969999999998</v>
      </c>
      <c r="T56" s="210">
        <f t="shared" si="30"/>
        <v>4403.6080000000002</v>
      </c>
      <c r="U56" s="210">
        <f t="shared" ref="U56:U61" si="31">K24</f>
        <v>80</v>
      </c>
    </row>
    <row r="57" spans="17:22" x14ac:dyDescent="0.2">
      <c r="Q57" s="210">
        <v>2013</v>
      </c>
      <c r="R57" s="584">
        <f t="shared" si="30"/>
        <v>8680.4210000000003</v>
      </c>
      <c r="S57" s="210">
        <f t="shared" si="30"/>
        <v>3337.0359999999996</v>
      </c>
      <c r="T57" s="210">
        <f t="shared" si="30"/>
        <v>5262.6849999999995</v>
      </c>
      <c r="U57" s="210">
        <f t="shared" si="31"/>
        <v>80</v>
      </c>
    </row>
    <row r="58" spans="17:22" x14ac:dyDescent="0.2">
      <c r="Q58" s="210">
        <v>2014</v>
      </c>
      <c r="R58" s="584">
        <f t="shared" ref="R58:T59" si="32">H26</f>
        <v>9082.8000000000029</v>
      </c>
      <c r="S58" s="210">
        <f t="shared" si="32"/>
        <v>3435.9410000000007</v>
      </c>
      <c r="T58" s="210">
        <f t="shared" si="32"/>
        <v>5408.1590000000015</v>
      </c>
      <c r="U58" s="210">
        <f t="shared" si="31"/>
        <v>96</v>
      </c>
      <c r="V58" s="210">
        <f t="shared" ref="V58:V63" si="33">L26</f>
        <v>142.69999999999999</v>
      </c>
    </row>
    <row r="59" spans="17:22" x14ac:dyDescent="0.2">
      <c r="Q59" s="210">
        <v>2015</v>
      </c>
      <c r="R59" s="584">
        <f t="shared" si="32"/>
        <v>10028.284</v>
      </c>
      <c r="S59" s="210">
        <f t="shared" si="32"/>
        <v>3928.0910000000003</v>
      </c>
      <c r="T59" s="210">
        <f t="shared" si="32"/>
        <v>5764.3930000000009</v>
      </c>
      <c r="U59" s="210">
        <f t="shared" si="31"/>
        <v>96</v>
      </c>
      <c r="V59" s="210">
        <f t="shared" si="33"/>
        <v>239.79999999999998</v>
      </c>
    </row>
    <row r="60" spans="17:22" x14ac:dyDescent="0.2">
      <c r="Q60" s="210">
        <v>2016</v>
      </c>
      <c r="R60" s="584">
        <f t="shared" ref="R60:T61" si="34">H28</f>
        <v>12450.708000000004</v>
      </c>
      <c r="S60" s="210">
        <f t="shared" si="34"/>
        <v>4983.9800000000023</v>
      </c>
      <c r="T60" s="210">
        <f t="shared" si="34"/>
        <v>7130.7780000000012</v>
      </c>
      <c r="U60" s="210">
        <f t="shared" si="31"/>
        <v>96</v>
      </c>
      <c r="V60" s="210">
        <f t="shared" si="33"/>
        <v>239.95</v>
      </c>
    </row>
    <row r="61" spans="17:22" x14ac:dyDescent="0.2">
      <c r="Q61" s="210">
        <v>2017</v>
      </c>
      <c r="R61" s="584">
        <f t="shared" si="34"/>
        <v>12631.256180000006</v>
      </c>
      <c r="S61" s="210">
        <f t="shared" si="34"/>
        <v>5041.6326799999988</v>
      </c>
      <c r="T61" s="210">
        <f t="shared" si="34"/>
        <v>7109.1895000000059</v>
      </c>
      <c r="U61" s="210">
        <f t="shared" si="31"/>
        <v>240.48400000000001</v>
      </c>
      <c r="V61" s="210">
        <f t="shared" si="33"/>
        <v>239.95</v>
      </c>
    </row>
    <row r="62" spans="17:22" x14ac:dyDescent="0.2">
      <c r="Q62" s="210">
        <v>2018</v>
      </c>
      <c r="R62" s="584">
        <f t="shared" ref="R62:U63" si="35">H30</f>
        <v>13145.596000000005</v>
      </c>
      <c r="S62" s="210">
        <f t="shared" si="35"/>
        <v>5174.4699999999984</v>
      </c>
      <c r="T62" s="210">
        <f t="shared" si="35"/>
        <v>7318.3920000000062</v>
      </c>
      <c r="U62" s="210">
        <f t="shared" si="35"/>
        <v>280.48400000000004</v>
      </c>
      <c r="V62" s="210">
        <f t="shared" si="33"/>
        <v>372.24999999999994</v>
      </c>
    </row>
    <row r="63" spans="17:22" x14ac:dyDescent="0.2">
      <c r="Q63" s="210">
        <v>2019</v>
      </c>
      <c r="R63" s="584">
        <f t="shared" si="35"/>
        <v>13159.246999999999</v>
      </c>
      <c r="S63" s="210">
        <f t="shared" si="35"/>
        <v>5236.2709999999925</v>
      </c>
      <c r="T63" s="210">
        <f t="shared" si="35"/>
        <v>7265.6920000000082</v>
      </c>
      <c r="U63" s="210">
        <f t="shared" si="35"/>
        <v>285.03399999999999</v>
      </c>
      <c r="V63" s="210">
        <f t="shared" si="33"/>
        <v>372.24999999999994</v>
      </c>
    </row>
    <row r="69" spans="17:20" x14ac:dyDescent="0.2">
      <c r="R69" s="210" t="s">
        <v>47</v>
      </c>
    </row>
    <row r="70" spans="17:20" x14ac:dyDescent="0.2">
      <c r="R70" s="210" t="s">
        <v>0</v>
      </c>
      <c r="S70" s="210" t="s">
        <v>4</v>
      </c>
      <c r="T70" s="210" t="s">
        <v>5</v>
      </c>
    </row>
    <row r="71" spans="17:20" x14ac:dyDescent="0.2">
      <c r="Q71" s="210">
        <v>1995</v>
      </c>
      <c r="R71" s="584">
        <f t="shared" ref="R71:R93" si="36">M7</f>
        <v>880.01599999999996</v>
      </c>
      <c r="S71" s="584">
        <f t="shared" ref="S71:S93" si="37">N7</f>
        <v>268.97000000000003</v>
      </c>
      <c r="T71" s="584">
        <f t="shared" ref="T71:T93" si="38">O7</f>
        <v>611.04599999999994</v>
      </c>
    </row>
    <row r="72" spans="17:20" x14ac:dyDescent="0.2">
      <c r="Q72" s="210">
        <v>1996</v>
      </c>
      <c r="R72" s="584">
        <f t="shared" si="36"/>
        <v>1123.7</v>
      </c>
      <c r="S72" s="584">
        <f t="shared" si="37"/>
        <v>277.02600000000001</v>
      </c>
      <c r="T72" s="584">
        <f t="shared" si="38"/>
        <v>846.67400000000009</v>
      </c>
    </row>
    <row r="73" spans="17:20" x14ac:dyDescent="0.2">
      <c r="Q73" s="210">
        <v>1997</v>
      </c>
      <c r="R73" s="584">
        <f t="shared" si="36"/>
        <v>754.18599999999992</v>
      </c>
      <c r="S73" s="584">
        <f t="shared" si="37"/>
        <v>90.733000000000004</v>
      </c>
      <c r="T73" s="584">
        <f t="shared" si="38"/>
        <v>663.45299999999997</v>
      </c>
    </row>
    <row r="74" spans="17:20" x14ac:dyDescent="0.2">
      <c r="Q74" s="210">
        <v>1998</v>
      </c>
      <c r="R74" s="584">
        <f t="shared" si="36"/>
        <v>760.82999999999993</v>
      </c>
      <c r="S74" s="584">
        <f t="shared" si="37"/>
        <v>93.967000000000013</v>
      </c>
      <c r="T74" s="584">
        <f t="shared" si="38"/>
        <v>666.86299999999994</v>
      </c>
    </row>
    <row r="75" spans="17:20" x14ac:dyDescent="0.2">
      <c r="Q75" s="210">
        <v>1999</v>
      </c>
      <c r="R75" s="584">
        <f t="shared" si="36"/>
        <v>798.22699999999998</v>
      </c>
      <c r="S75" s="584">
        <f t="shared" si="37"/>
        <v>75.48299999999999</v>
      </c>
      <c r="T75" s="584">
        <f t="shared" si="38"/>
        <v>722.74400000000003</v>
      </c>
    </row>
    <row r="76" spans="17:20" x14ac:dyDescent="0.2">
      <c r="Q76" s="210">
        <v>2000</v>
      </c>
      <c r="R76" s="584">
        <f t="shared" si="36"/>
        <v>778.91100000000006</v>
      </c>
      <c r="S76" s="584">
        <f t="shared" si="37"/>
        <v>74.971000000000004</v>
      </c>
      <c r="T76" s="584">
        <f t="shared" si="38"/>
        <v>703.94</v>
      </c>
    </row>
    <row r="77" spans="17:20" x14ac:dyDescent="0.2">
      <c r="Q77" s="210">
        <v>2001</v>
      </c>
      <c r="R77" s="584">
        <f t="shared" si="36"/>
        <v>745.11300000000017</v>
      </c>
      <c r="S77" s="584">
        <f t="shared" si="37"/>
        <v>69.667999999999992</v>
      </c>
      <c r="T77" s="584">
        <f t="shared" si="38"/>
        <v>675.44500000000016</v>
      </c>
    </row>
    <row r="78" spans="17:20" x14ac:dyDescent="0.2">
      <c r="Q78" s="585">
        <v>2002</v>
      </c>
      <c r="R78" s="584">
        <f t="shared" si="36"/>
        <v>737.84200000000055</v>
      </c>
      <c r="S78" s="584">
        <f t="shared" si="37"/>
        <v>72.418999999999997</v>
      </c>
      <c r="T78" s="584">
        <f t="shared" si="38"/>
        <v>665.42300000000057</v>
      </c>
    </row>
    <row r="79" spans="17:20" x14ac:dyDescent="0.2">
      <c r="Q79" s="210">
        <v>2003</v>
      </c>
      <c r="R79" s="584">
        <f t="shared" si="36"/>
        <v>735.41300000000035</v>
      </c>
      <c r="S79" s="584">
        <f t="shared" si="37"/>
        <v>70.043999999999983</v>
      </c>
      <c r="T79" s="584">
        <f t="shared" si="38"/>
        <v>665.36900000000037</v>
      </c>
    </row>
    <row r="80" spans="17:20" x14ac:dyDescent="0.2">
      <c r="Q80" s="210">
        <v>2004</v>
      </c>
      <c r="R80" s="584">
        <f t="shared" si="36"/>
        <v>760.64400000000035</v>
      </c>
      <c r="S80" s="584">
        <f t="shared" si="37"/>
        <v>67.731999999999999</v>
      </c>
      <c r="T80" s="584">
        <f t="shared" si="38"/>
        <v>692.91200000000038</v>
      </c>
    </row>
    <row r="81" spans="17:20" x14ac:dyDescent="0.2">
      <c r="Q81" s="210">
        <v>2005</v>
      </c>
      <c r="R81" s="584">
        <f t="shared" si="36"/>
        <v>812.2620000000004</v>
      </c>
      <c r="S81" s="584">
        <f t="shared" si="37"/>
        <v>70.430000000000007</v>
      </c>
      <c r="T81" s="584">
        <f t="shared" si="38"/>
        <v>741.83200000000033</v>
      </c>
    </row>
    <row r="82" spans="17:20" x14ac:dyDescent="0.2">
      <c r="Q82" s="210">
        <v>2006</v>
      </c>
      <c r="R82" s="584">
        <f t="shared" si="36"/>
        <v>809.03800000000001</v>
      </c>
      <c r="S82" s="584">
        <f t="shared" si="37"/>
        <v>69.355999999999995</v>
      </c>
      <c r="T82" s="584">
        <f t="shared" si="38"/>
        <v>739.68200000000002</v>
      </c>
    </row>
    <row r="83" spans="17:20" x14ac:dyDescent="0.2">
      <c r="Q83" s="585">
        <v>2007</v>
      </c>
      <c r="R83" s="584">
        <f t="shared" si="36"/>
        <v>819.15900000000011</v>
      </c>
      <c r="S83" s="584">
        <f t="shared" si="37"/>
        <v>73.710999999999984</v>
      </c>
      <c r="T83" s="584">
        <f t="shared" si="38"/>
        <v>745.44800000000009</v>
      </c>
    </row>
    <row r="84" spans="17:20" x14ac:dyDescent="0.2">
      <c r="Q84" s="210">
        <v>2008</v>
      </c>
      <c r="R84" s="584">
        <f t="shared" si="36"/>
        <v>904.72799999999995</v>
      </c>
      <c r="S84" s="584">
        <f t="shared" si="37"/>
        <v>74.780999999999977</v>
      </c>
      <c r="T84" s="584">
        <f t="shared" si="38"/>
        <v>829.947</v>
      </c>
    </row>
    <row r="85" spans="17:20" x14ac:dyDescent="0.2">
      <c r="Q85" s="210">
        <v>2009</v>
      </c>
      <c r="R85" s="584">
        <f t="shared" si="36"/>
        <v>1009.9380000000001</v>
      </c>
      <c r="S85" s="584">
        <f t="shared" si="37"/>
        <v>78.605999999999995</v>
      </c>
      <c r="T85" s="584">
        <f t="shared" si="38"/>
        <v>931.33200000000011</v>
      </c>
    </row>
    <row r="86" spans="17:20" x14ac:dyDescent="0.2">
      <c r="Q86" s="585">
        <v>2010</v>
      </c>
      <c r="R86" s="210">
        <f t="shared" si="36"/>
        <v>1125.3490000000004</v>
      </c>
      <c r="S86" s="210">
        <f t="shared" si="37"/>
        <v>80.084000000000003</v>
      </c>
      <c r="T86" s="210">
        <f t="shared" si="38"/>
        <v>1045.2650000000003</v>
      </c>
    </row>
    <row r="87" spans="17:20" x14ac:dyDescent="0.2">
      <c r="Q87" s="210">
        <v>2011</v>
      </c>
      <c r="R87" s="210">
        <f t="shared" si="36"/>
        <v>1177.712</v>
      </c>
      <c r="S87" s="210">
        <f t="shared" si="37"/>
        <v>81.998999999999995</v>
      </c>
      <c r="T87" s="210">
        <f t="shared" si="38"/>
        <v>1095.713</v>
      </c>
    </row>
    <row r="88" spans="17:20" x14ac:dyDescent="0.2">
      <c r="Q88" s="585">
        <v>2012</v>
      </c>
      <c r="R88" s="210">
        <f t="shared" si="36"/>
        <v>1184.3520000000001</v>
      </c>
      <c r="S88" s="210">
        <f t="shared" si="37"/>
        <v>89.539000000000016</v>
      </c>
      <c r="T88" s="210">
        <f t="shared" si="38"/>
        <v>1094.8130000000001</v>
      </c>
    </row>
    <row r="89" spans="17:20" x14ac:dyDescent="0.2">
      <c r="Q89" s="585">
        <v>2013</v>
      </c>
      <c r="R89" s="210">
        <f t="shared" si="36"/>
        <v>1204.8510000000001</v>
      </c>
      <c r="S89" s="210">
        <f t="shared" si="37"/>
        <v>77.372</v>
      </c>
      <c r="T89" s="210">
        <f t="shared" si="38"/>
        <v>1127.479</v>
      </c>
    </row>
    <row r="90" spans="17:20" x14ac:dyDescent="0.2">
      <c r="Q90" s="585">
        <v>2014</v>
      </c>
      <c r="R90" s="210">
        <f t="shared" si="36"/>
        <v>1186.5420000000001</v>
      </c>
      <c r="S90" s="210">
        <f t="shared" si="37"/>
        <v>91.34699999999998</v>
      </c>
      <c r="T90" s="210">
        <f t="shared" si="38"/>
        <v>1095.1950000000002</v>
      </c>
    </row>
    <row r="91" spans="17:20" x14ac:dyDescent="0.2">
      <c r="Q91" s="585">
        <v>2015</v>
      </c>
      <c r="R91" s="210">
        <f t="shared" si="36"/>
        <v>1202.1559999999997</v>
      </c>
      <c r="S91" s="210">
        <f t="shared" si="37"/>
        <v>91.72699999999999</v>
      </c>
      <c r="T91" s="210">
        <f t="shared" si="38"/>
        <v>1110.4289999999996</v>
      </c>
    </row>
    <row r="92" spans="17:20" x14ac:dyDescent="0.2">
      <c r="Q92" s="585">
        <v>2016</v>
      </c>
      <c r="R92" s="210">
        <f t="shared" si="36"/>
        <v>1191.7980999999997</v>
      </c>
      <c r="S92" s="210">
        <f t="shared" si="37"/>
        <v>102.35899999999999</v>
      </c>
      <c r="T92" s="210">
        <f t="shared" si="38"/>
        <v>1089.4390999999998</v>
      </c>
    </row>
    <row r="93" spans="17:20" x14ac:dyDescent="0.2">
      <c r="Q93" s="585">
        <v>2017</v>
      </c>
      <c r="R93" s="210">
        <f t="shared" si="36"/>
        <v>1220.8441</v>
      </c>
      <c r="S93" s="210">
        <f t="shared" si="37"/>
        <v>116.57799999999997</v>
      </c>
      <c r="T93" s="210">
        <f t="shared" si="38"/>
        <v>1104.2661000000001</v>
      </c>
    </row>
    <row r="94" spans="17:20" x14ac:dyDescent="0.2">
      <c r="Q94" s="210">
        <v>2018</v>
      </c>
      <c r="R94" s="210">
        <f t="shared" ref="R94:T95" si="39">M30</f>
        <v>1220.6601000000005</v>
      </c>
      <c r="S94" s="210">
        <f t="shared" si="39"/>
        <v>117.36399999999998</v>
      </c>
      <c r="T94" s="210">
        <f t="shared" si="39"/>
        <v>1103.2961000000005</v>
      </c>
    </row>
    <row r="95" spans="17:20" x14ac:dyDescent="0.2">
      <c r="Q95" s="210">
        <v>2019</v>
      </c>
      <c r="R95" s="210">
        <f t="shared" si="39"/>
        <v>1219.6461000000011</v>
      </c>
      <c r="S95" s="210">
        <f t="shared" si="39"/>
        <v>118.37999999999997</v>
      </c>
      <c r="T95" s="210">
        <f t="shared" si="39"/>
        <v>1101.2661000000012</v>
      </c>
    </row>
  </sheetData>
  <mergeCells count="2">
    <mergeCell ref="B4:B5"/>
    <mergeCell ref="C4:C5"/>
  </mergeCells>
  <printOptions horizontalCentered="1" verticalCentered="1"/>
  <pageMargins left="0.51181102362204722" right="0.39370078740157483" top="0.39370078740157483" bottom="0.31496062992125984" header="0" footer="0"/>
  <pageSetup paperSize="9" scale="6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F65"/>
  <sheetViews>
    <sheetView view="pageBreakPreview" zoomScaleNormal="100" zoomScaleSheetLayoutView="100" workbookViewId="0">
      <selection activeCell="R41" sqref="R41"/>
    </sheetView>
  </sheetViews>
  <sheetFormatPr baseColWidth="10" defaultRowHeight="12.75" x14ac:dyDescent="0.2"/>
  <cols>
    <col min="1" max="1" width="4.5703125" customWidth="1"/>
    <col min="2" max="2" width="11.7109375" customWidth="1"/>
    <col min="15" max="15" width="9.85546875" customWidth="1"/>
    <col min="16" max="16" width="4.85546875" customWidth="1"/>
    <col min="17" max="32" width="11" customWidth="1"/>
  </cols>
  <sheetData>
    <row r="1" spans="1:32" ht="15.75" x14ac:dyDescent="0.25">
      <c r="A1" s="1266" t="s">
        <v>48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356"/>
      <c r="P1" s="356"/>
    </row>
    <row r="2" spans="1:32" x14ac:dyDescent="0.2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:32" ht="13.5" thickBot="1" x14ac:dyDescent="0.2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</row>
    <row r="4" spans="1:32" s="7" customFormat="1" ht="15" customHeight="1" x14ac:dyDescent="0.2">
      <c r="A4" s="965"/>
      <c r="B4" s="1145"/>
      <c r="C4" s="1267" t="s">
        <v>34</v>
      </c>
      <c r="D4" s="1268"/>
      <c r="E4" s="1268"/>
      <c r="F4" s="1268"/>
      <c r="G4" s="1268"/>
      <c r="H4" s="1268"/>
      <c r="I4" s="1268"/>
      <c r="J4" s="1268"/>
      <c r="K4" s="1268"/>
      <c r="L4" s="1268"/>
      <c r="M4" s="1268"/>
      <c r="N4" s="1268"/>
      <c r="O4" s="1269"/>
      <c r="P4" s="965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s="7" customFormat="1" ht="15" customHeight="1" x14ac:dyDescent="0.2">
      <c r="A5" s="965"/>
      <c r="B5" s="1146" t="s">
        <v>18</v>
      </c>
      <c r="C5" s="1270" t="s">
        <v>14</v>
      </c>
      <c r="D5" s="1271"/>
      <c r="E5" s="1271"/>
      <c r="F5" s="1271"/>
      <c r="G5" s="1272"/>
      <c r="H5" s="1270" t="s">
        <v>15</v>
      </c>
      <c r="I5" s="1271"/>
      <c r="J5" s="1272"/>
      <c r="K5" s="1270" t="s">
        <v>33</v>
      </c>
      <c r="L5" s="1271"/>
      <c r="M5" s="1271"/>
      <c r="N5" s="1271"/>
      <c r="O5" s="1273"/>
      <c r="P5" s="96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s="7" customFormat="1" ht="15" customHeight="1" x14ac:dyDescent="0.2">
      <c r="A6" s="965"/>
      <c r="B6" s="1147"/>
      <c r="C6" s="1148" t="s">
        <v>4</v>
      </c>
      <c r="D6" s="1148" t="s">
        <v>5</v>
      </c>
      <c r="E6" s="1149" t="s">
        <v>58</v>
      </c>
      <c r="F6" s="1149" t="s">
        <v>6</v>
      </c>
      <c r="G6" s="1148" t="s">
        <v>0</v>
      </c>
      <c r="H6" s="1150" t="s">
        <v>4</v>
      </c>
      <c r="I6" s="1148" t="s">
        <v>5</v>
      </c>
      <c r="J6" s="1148" t="s">
        <v>0</v>
      </c>
      <c r="K6" s="1150" t="s">
        <v>4</v>
      </c>
      <c r="L6" s="1148" t="s">
        <v>5</v>
      </c>
      <c r="M6" s="1149" t="s">
        <v>58</v>
      </c>
      <c r="N6" s="1149" t="s">
        <v>6</v>
      </c>
      <c r="O6" s="1151" t="s">
        <v>0</v>
      </c>
      <c r="P6" s="965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x14ac:dyDescent="0.2">
      <c r="A7" s="356"/>
      <c r="B7" s="365">
        <v>1960</v>
      </c>
      <c r="C7" s="366">
        <v>221.8</v>
      </c>
      <c r="D7" s="367">
        <v>126.6</v>
      </c>
      <c r="E7" s="368"/>
      <c r="F7" s="368"/>
      <c r="G7" s="366">
        <f t="shared" ref="G7:G12" si="0">+SUM(C7:F7)</f>
        <v>348.4</v>
      </c>
      <c r="H7" s="369">
        <v>193.7</v>
      </c>
      <c r="I7" s="366">
        <v>236.6</v>
      </c>
      <c r="J7" s="366">
        <f>+SUM(H7:I7)</f>
        <v>430.29999999999995</v>
      </c>
      <c r="K7" s="369">
        <v>415.5</v>
      </c>
      <c r="L7" s="366">
        <v>363.2</v>
      </c>
      <c r="M7" s="370"/>
      <c r="N7" s="370"/>
      <c r="O7" s="371">
        <v>778.7</v>
      </c>
      <c r="P7" s="356"/>
    </row>
    <row r="8" spans="1:32" x14ac:dyDescent="0.2">
      <c r="A8" s="356"/>
      <c r="B8" s="365">
        <v>1970</v>
      </c>
      <c r="C8" s="366">
        <v>681.1</v>
      </c>
      <c r="D8" s="367">
        <v>181.5</v>
      </c>
      <c r="E8" s="368"/>
      <c r="F8" s="368"/>
      <c r="G8" s="366">
        <f t="shared" si="0"/>
        <v>862.6</v>
      </c>
      <c r="H8" s="369">
        <v>241.5</v>
      </c>
      <c r="I8" s="366">
        <v>573</v>
      </c>
      <c r="J8" s="366">
        <f t="shared" ref="J8:J13" si="1">+SUM(H8:I8)</f>
        <v>814.5</v>
      </c>
      <c r="K8" s="369">
        <v>922.6</v>
      </c>
      <c r="L8" s="366">
        <v>754.5</v>
      </c>
      <c r="M8" s="370"/>
      <c r="N8" s="370"/>
      <c r="O8" s="371">
        <v>1677.1</v>
      </c>
      <c r="P8" s="356"/>
    </row>
    <row r="9" spans="1:32" x14ac:dyDescent="0.2">
      <c r="A9" s="356"/>
      <c r="B9" s="365">
        <v>1980</v>
      </c>
      <c r="C9" s="366">
        <v>1613.1</v>
      </c>
      <c r="D9" s="367">
        <v>410.1</v>
      </c>
      <c r="E9" s="368"/>
      <c r="F9" s="368"/>
      <c r="G9" s="366">
        <f t="shared" si="0"/>
        <v>2023.1999999999998</v>
      </c>
      <c r="H9" s="369">
        <v>254.5</v>
      </c>
      <c r="I9" s="366">
        <v>862.5</v>
      </c>
      <c r="J9" s="366">
        <f t="shared" si="1"/>
        <v>1117</v>
      </c>
      <c r="K9" s="369">
        <v>1867.6</v>
      </c>
      <c r="L9" s="366">
        <v>1272.5999999999999</v>
      </c>
      <c r="M9" s="370"/>
      <c r="N9" s="370"/>
      <c r="O9" s="371">
        <v>3140.2</v>
      </c>
      <c r="P9" s="356"/>
    </row>
    <row r="10" spans="1:32" x14ac:dyDescent="0.2">
      <c r="A10" s="356"/>
      <c r="B10" s="365">
        <v>1990</v>
      </c>
      <c r="C10" s="366">
        <v>2119</v>
      </c>
      <c r="D10" s="367">
        <v>722.8</v>
      </c>
      <c r="E10" s="368"/>
      <c r="F10" s="368"/>
      <c r="G10" s="366">
        <f t="shared" si="0"/>
        <v>2841.8</v>
      </c>
      <c r="H10" s="369">
        <v>280.8</v>
      </c>
      <c r="I10" s="366">
        <v>1020.8</v>
      </c>
      <c r="J10" s="366">
        <f t="shared" si="1"/>
        <v>1301.5999999999999</v>
      </c>
      <c r="K10" s="369">
        <v>2399.8000000000002</v>
      </c>
      <c r="L10" s="366">
        <v>1743.6</v>
      </c>
      <c r="M10" s="370"/>
      <c r="N10" s="370"/>
      <c r="O10" s="371">
        <v>4143.3999999999996</v>
      </c>
      <c r="P10" s="356"/>
    </row>
    <row r="11" spans="1:32" x14ac:dyDescent="0.2">
      <c r="A11" s="356"/>
      <c r="B11" s="365">
        <v>2000</v>
      </c>
      <c r="C11" s="366">
        <v>2779.26</v>
      </c>
      <c r="D11" s="367">
        <v>2368.8910000000001</v>
      </c>
      <c r="E11" s="368"/>
      <c r="F11" s="368"/>
      <c r="G11" s="366">
        <f t="shared" si="0"/>
        <v>5148.1509999999998</v>
      </c>
      <c r="H11" s="369">
        <v>77.564999999999998</v>
      </c>
      <c r="I11" s="366">
        <v>839.77300000000014</v>
      </c>
      <c r="J11" s="366">
        <f t="shared" si="1"/>
        <v>917.33800000000019</v>
      </c>
      <c r="K11" s="369">
        <v>2856.8250000000003</v>
      </c>
      <c r="L11" s="366">
        <v>3208.6640000000002</v>
      </c>
      <c r="M11" s="370"/>
      <c r="N11" s="370"/>
      <c r="O11" s="371">
        <v>6066.1890000000003</v>
      </c>
      <c r="P11" s="356"/>
    </row>
    <row r="12" spans="1:32" x14ac:dyDescent="0.2">
      <c r="A12" s="356"/>
      <c r="B12" s="365">
        <v>2010</v>
      </c>
      <c r="C12" s="366">
        <v>3344.7950000000001</v>
      </c>
      <c r="D12" s="367">
        <v>3963.6709999999989</v>
      </c>
      <c r="E12" s="368"/>
      <c r="F12" s="368"/>
      <c r="G12" s="366">
        <f t="shared" si="0"/>
        <v>7308.4659999999985</v>
      </c>
      <c r="H12" s="369">
        <v>92.807000000000016</v>
      </c>
      <c r="I12" s="366">
        <v>1210.5839999999996</v>
      </c>
      <c r="J12" s="366">
        <f t="shared" si="1"/>
        <v>1303.3909999999996</v>
      </c>
      <c r="K12" s="369">
        <v>3437.6019999999994</v>
      </c>
      <c r="L12" s="366">
        <v>5174.2549999999974</v>
      </c>
      <c r="M12" s="370"/>
      <c r="N12" s="370"/>
      <c r="O12" s="371">
        <v>8612.5569999999971</v>
      </c>
      <c r="P12" s="356"/>
    </row>
    <row r="13" spans="1:32" ht="13.5" thickBot="1" x14ac:dyDescent="0.25">
      <c r="A13" s="356"/>
      <c r="B13" s="372">
        <v>2019</v>
      </c>
      <c r="C13" s="373">
        <v>5266.3020000000024</v>
      </c>
      <c r="D13" s="374">
        <v>7722.6090000000086</v>
      </c>
      <c r="E13" s="441">
        <v>289.03399999999999</v>
      </c>
      <c r="F13" s="441">
        <v>372.24999999999994</v>
      </c>
      <c r="G13" s="373">
        <f>+SUM(C13:F13)</f>
        <v>13650.195000000011</v>
      </c>
      <c r="H13" s="375">
        <v>130.90299999999999</v>
      </c>
      <c r="I13" s="373">
        <v>1341.7420000000006</v>
      </c>
      <c r="J13" s="373">
        <f t="shared" si="1"/>
        <v>1472.6450000000007</v>
      </c>
      <c r="K13" s="375">
        <f>C13+H13</f>
        <v>5397.2050000000027</v>
      </c>
      <c r="L13" s="373">
        <f>D13+I13</f>
        <v>9064.3510000000097</v>
      </c>
      <c r="M13" s="441">
        <f>+E13</f>
        <v>289.03399999999999</v>
      </c>
      <c r="N13" s="441">
        <f>+F13</f>
        <v>372.24999999999994</v>
      </c>
      <c r="O13" s="376">
        <f>+SUM(K13:N13)</f>
        <v>15122.840000000011</v>
      </c>
      <c r="P13" s="356"/>
    </row>
    <row r="14" spans="1:32" x14ac:dyDescent="0.2">
      <c r="A14" s="356"/>
      <c r="B14" s="530"/>
      <c r="C14" s="360"/>
      <c r="D14" s="361"/>
      <c r="E14" s="361"/>
      <c r="F14" s="361"/>
      <c r="G14" s="360"/>
      <c r="H14" s="360"/>
      <c r="I14" s="360"/>
      <c r="J14" s="360"/>
      <c r="K14" s="360"/>
      <c r="L14" s="360"/>
      <c r="M14" s="360"/>
      <c r="N14" s="360"/>
      <c r="O14" s="360"/>
      <c r="P14" s="356"/>
    </row>
    <row r="15" spans="1:32" x14ac:dyDescent="0.2">
      <c r="A15" s="356"/>
      <c r="B15" s="356"/>
      <c r="C15" s="362"/>
      <c r="D15" s="362"/>
      <c r="E15" s="362"/>
      <c r="F15" s="362"/>
      <c r="G15" s="363"/>
      <c r="H15" s="364"/>
      <c r="I15" s="362"/>
      <c r="J15" s="356"/>
      <c r="K15" s="356"/>
      <c r="L15" s="356"/>
      <c r="M15" s="356"/>
      <c r="N15" s="356"/>
      <c r="O15" s="356"/>
      <c r="P15" s="356"/>
    </row>
    <row r="16" spans="1:32" ht="13.5" thickBot="1" x14ac:dyDescent="0.25">
      <c r="A16" s="356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</row>
    <row r="17" spans="1:16" s="7" customFormat="1" ht="15" customHeight="1" x14ac:dyDescent="0.2">
      <c r="A17" s="965"/>
      <c r="B17" s="1145"/>
      <c r="C17" s="1267" t="s">
        <v>35</v>
      </c>
      <c r="D17" s="1268"/>
      <c r="E17" s="1268"/>
      <c r="F17" s="1268"/>
      <c r="G17" s="1268"/>
      <c r="H17" s="1268"/>
      <c r="I17" s="1268"/>
      <c r="J17" s="1268"/>
      <c r="K17" s="1268"/>
      <c r="L17" s="1268"/>
      <c r="M17" s="1268"/>
      <c r="N17" s="1268"/>
      <c r="O17" s="1269"/>
      <c r="P17" s="965"/>
    </row>
    <row r="18" spans="1:16" s="7" customFormat="1" ht="15" customHeight="1" x14ac:dyDescent="0.2">
      <c r="A18" s="965"/>
      <c r="B18" s="1146" t="s">
        <v>29</v>
      </c>
      <c r="C18" s="1270" t="s">
        <v>14</v>
      </c>
      <c r="D18" s="1271"/>
      <c r="E18" s="1271"/>
      <c r="F18" s="1271"/>
      <c r="G18" s="1272"/>
      <c r="H18" s="1270" t="s">
        <v>15</v>
      </c>
      <c r="I18" s="1271"/>
      <c r="J18" s="1272"/>
      <c r="K18" s="1270" t="s">
        <v>33</v>
      </c>
      <c r="L18" s="1271"/>
      <c r="M18" s="1271"/>
      <c r="N18" s="1271"/>
      <c r="O18" s="1273"/>
      <c r="P18" s="965"/>
    </row>
    <row r="19" spans="1:16" s="7" customFormat="1" ht="15" customHeight="1" x14ac:dyDescent="0.2">
      <c r="B19" s="1152"/>
      <c r="C19" s="1148" t="s">
        <v>4</v>
      </c>
      <c r="D19" s="1148" t="s">
        <v>5</v>
      </c>
      <c r="E19" s="1149" t="s">
        <v>58</v>
      </c>
      <c r="F19" s="1149" t="s">
        <v>6</v>
      </c>
      <c r="G19" s="1153" t="s">
        <v>0</v>
      </c>
      <c r="H19" s="1150" t="s">
        <v>4</v>
      </c>
      <c r="I19" s="1148" t="s">
        <v>5</v>
      </c>
      <c r="J19" s="1153" t="s">
        <v>0</v>
      </c>
      <c r="K19" s="1150" t="s">
        <v>4</v>
      </c>
      <c r="L19" s="1148" t="s">
        <v>5</v>
      </c>
      <c r="M19" s="1149" t="s">
        <v>58</v>
      </c>
      <c r="N19" s="1149" t="s">
        <v>6</v>
      </c>
      <c r="O19" s="1154" t="s">
        <v>0</v>
      </c>
      <c r="P19" s="965"/>
    </row>
    <row r="20" spans="1:16" x14ac:dyDescent="0.2">
      <c r="A20" s="356"/>
      <c r="B20" s="587" t="s">
        <v>270</v>
      </c>
      <c r="C20" s="588">
        <f>((C13/C7)-1)*100</f>
        <v>2274.3471596032473</v>
      </c>
      <c r="D20" s="588">
        <f>((D13/D7)-1)*100</f>
        <v>6000.0071090047459</v>
      </c>
      <c r="E20" s="588"/>
      <c r="F20" s="588"/>
      <c r="G20" s="588">
        <f t="shared" ref="G20:L20" si="2">((G13/G7)-1)*100</f>
        <v>3817.9664179104511</v>
      </c>
      <c r="H20" s="588">
        <f t="shared" si="2"/>
        <v>-32.419721218378939</v>
      </c>
      <c r="I20" s="588">
        <f t="shared" si="2"/>
        <v>467.09298393913804</v>
      </c>
      <c r="J20" s="588">
        <f t="shared" si="2"/>
        <v>242.23681152684193</v>
      </c>
      <c r="K20" s="589">
        <f t="shared" si="2"/>
        <v>1198.966305655837</v>
      </c>
      <c r="L20" s="588">
        <f t="shared" si="2"/>
        <v>2395.6913546255537</v>
      </c>
      <c r="M20" s="588"/>
      <c r="N20" s="588"/>
      <c r="O20" s="588">
        <f>((O13/O7)-1)*100</f>
        <v>1842.0624117118286</v>
      </c>
      <c r="P20" s="356"/>
    </row>
    <row r="21" spans="1:16" x14ac:dyDescent="0.2">
      <c r="A21" s="356"/>
      <c r="B21" s="357" t="s">
        <v>30</v>
      </c>
      <c r="C21" s="367">
        <f t="shared" ref="C21:D26" si="3">((C8/C7)-1)*100</f>
        <v>207.07844905320107</v>
      </c>
      <c r="D21" s="367">
        <f t="shared" si="3"/>
        <v>43.364928909952603</v>
      </c>
      <c r="E21" s="367"/>
      <c r="F21" s="367"/>
      <c r="G21" s="367">
        <f t="shared" ref="G21:L26" si="4">((G8/G7)-1)*100</f>
        <v>147.58897818599314</v>
      </c>
      <c r="H21" s="367">
        <f t="shared" si="4"/>
        <v>24.677336086732062</v>
      </c>
      <c r="I21" s="367">
        <f t="shared" si="4"/>
        <v>142.18089602704987</v>
      </c>
      <c r="J21" s="367">
        <f t="shared" si="4"/>
        <v>89.286544271438558</v>
      </c>
      <c r="K21" s="367">
        <f t="shared" si="4"/>
        <v>122.04572803850783</v>
      </c>
      <c r="L21" s="367">
        <f t="shared" si="4"/>
        <v>107.73678414096919</v>
      </c>
      <c r="M21" s="367"/>
      <c r="N21" s="367"/>
      <c r="O21" s="367">
        <f t="shared" ref="O21:O26" si="5">((O8/O7)-1)*100</f>
        <v>115.3717734686015</v>
      </c>
      <c r="P21" s="356"/>
    </row>
    <row r="22" spans="1:16" x14ac:dyDescent="0.2">
      <c r="A22" s="356"/>
      <c r="B22" s="357" t="s">
        <v>31</v>
      </c>
      <c r="C22" s="367">
        <f t="shared" si="3"/>
        <v>136.83746880046979</v>
      </c>
      <c r="D22" s="367">
        <f t="shared" si="3"/>
        <v>125.95041322314052</v>
      </c>
      <c r="E22" s="367"/>
      <c r="F22" s="367"/>
      <c r="G22" s="367">
        <f t="shared" si="4"/>
        <v>134.54671922095986</v>
      </c>
      <c r="H22" s="367">
        <f t="shared" si="4"/>
        <v>5.3830227743271175</v>
      </c>
      <c r="I22" s="367">
        <f t="shared" si="4"/>
        <v>50.523560209424076</v>
      </c>
      <c r="J22" s="367">
        <f t="shared" si="4"/>
        <v>37.139349294045431</v>
      </c>
      <c r="K22" s="367">
        <f t="shared" si="4"/>
        <v>102.42792109256449</v>
      </c>
      <c r="L22" s="367">
        <f t="shared" si="4"/>
        <v>68.667992047713696</v>
      </c>
      <c r="M22" s="367"/>
      <c r="N22" s="367"/>
      <c r="O22" s="367">
        <f t="shared" si="5"/>
        <v>87.239878361457272</v>
      </c>
      <c r="P22" s="356"/>
    </row>
    <row r="23" spans="1:16" x14ac:dyDescent="0.2">
      <c r="A23" s="356"/>
      <c r="B23" s="357" t="s">
        <v>32</v>
      </c>
      <c r="C23" s="367">
        <f t="shared" si="3"/>
        <v>31.361973839191638</v>
      </c>
      <c r="D23" s="367">
        <f t="shared" si="3"/>
        <v>76.249695196293573</v>
      </c>
      <c r="E23" s="367"/>
      <c r="F23" s="367"/>
      <c r="G23" s="367">
        <f t="shared" si="4"/>
        <v>40.460656385923308</v>
      </c>
      <c r="H23" s="367">
        <f t="shared" si="4"/>
        <v>10.333988212180746</v>
      </c>
      <c r="I23" s="367">
        <f t="shared" si="4"/>
        <v>18.353623188405788</v>
      </c>
      <c r="J23" s="367">
        <f t="shared" si="4"/>
        <v>16.52641002685764</v>
      </c>
      <c r="K23" s="367">
        <f t="shared" si="4"/>
        <v>28.496466052687964</v>
      </c>
      <c r="L23" s="367">
        <f t="shared" si="4"/>
        <v>37.010843941537019</v>
      </c>
      <c r="M23" s="367"/>
      <c r="N23" s="367"/>
      <c r="O23" s="367">
        <f t="shared" si="5"/>
        <v>31.947009744602251</v>
      </c>
      <c r="P23" s="356"/>
    </row>
    <row r="24" spans="1:16" x14ac:dyDescent="0.2">
      <c r="A24" s="356"/>
      <c r="B24" s="357" t="s">
        <v>37</v>
      </c>
      <c r="C24" s="367">
        <f t="shared" si="3"/>
        <v>31.15903728173668</v>
      </c>
      <c r="D24" s="367">
        <f t="shared" si="3"/>
        <v>227.73810182623134</v>
      </c>
      <c r="E24" s="367"/>
      <c r="F24" s="367"/>
      <c r="G24" s="367">
        <f t="shared" si="4"/>
        <v>81.158104018579749</v>
      </c>
      <c r="H24" s="367">
        <f t="shared" si="4"/>
        <v>-72.377136752136749</v>
      </c>
      <c r="I24" s="367">
        <f t="shared" si="4"/>
        <v>-17.733836206896537</v>
      </c>
      <c r="J24" s="367">
        <f t="shared" si="4"/>
        <v>-29.522280270436362</v>
      </c>
      <c r="K24" s="367">
        <f t="shared" si="4"/>
        <v>19.044295357946496</v>
      </c>
      <c r="L24" s="367">
        <f t="shared" si="4"/>
        <v>84.025235145675637</v>
      </c>
      <c r="M24" s="367"/>
      <c r="N24" s="367"/>
      <c r="O24" s="367">
        <f t="shared" si="5"/>
        <v>46.406067480812887</v>
      </c>
      <c r="P24" s="356"/>
    </row>
    <row r="25" spans="1:16" x14ac:dyDescent="0.2">
      <c r="A25" s="356"/>
      <c r="B25" s="357" t="s">
        <v>56</v>
      </c>
      <c r="C25" s="367">
        <f t="shared" si="3"/>
        <v>20.348402092643369</v>
      </c>
      <c r="D25" s="367">
        <f t="shared" si="3"/>
        <v>67.321797414908445</v>
      </c>
      <c r="E25" s="367"/>
      <c r="F25" s="367"/>
      <c r="G25" s="367">
        <f t="shared" si="4"/>
        <v>41.962929991758187</v>
      </c>
      <c r="H25" s="367">
        <f t="shared" si="4"/>
        <v>19.650615612711952</v>
      </c>
      <c r="I25" s="367">
        <f t="shared" si="4"/>
        <v>44.156099326841833</v>
      </c>
      <c r="J25" s="367">
        <f t="shared" si="4"/>
        <v>42.084051897991735</v>
      </c>
      <c r="K25" s="367">
        <f t="shared" si="4"/>
        <v>20.329456652052503</v>
      </c>
      <c r="L25" s="367">
        <f t="shared" si="4"/>
        <v>61.258860385506139</v>
      </c>
      <c r="M25" s="367"/>
      <c r="N25" s="367"/>
      <c r="O25" s="367">
        <f t="shared" si="5"/>
        <v>41.976403966312233</v>
      </c>
      <c r="P25" s="356"/>
    </row>
    <row r="26" spans="1:16" ht="13.5" thickBot="1" x14ac:dyDescent="0.25">
      <c r="A26" s="356"/>
      <c r="B26" s="359" t="s">
        <v>363</v>
      </c>
      <c r="C26" s="374">
        <f t="shared" si="3"/>
        <v>57.447676165504987</v>
      </c>
      <c r="D26" s="374">
        <f t="shared" si="3"/>
        <v>94.834763026497669</v>
      </c>
      <c r="E26" s="441" t="s">
        <v>75</v>
      </c>
      <c r="F26" s="441" t="s">
        <v>75</v>
      </c>
      <c r="G26" s="374">
        <f t="shared" si="4"/>
        <v>86.772367826572832</v>
      </c>
      <c r="H26" s="374">
        <f t="shared" si="4"/>
        <v>41.048627797472136</v>
      </c>
      <c r="I26" s="374">
        <f>((I13/I12)-1)*100</f>
        <v>10.834275027590067</v>
      </c>
      <c r="J26" s="374">
        <f t="shared" si="4"/>
        <v>12.985665851613293</v>
      </c>
      <c r="K26" s="374">
        <f>((K13/K12)-1)*100</f>
        <v>57.004941235198373</v>
      </c>
      <c r="L26" s="374">
        <f t="shared" si="4"/>
        <v>75.18176046599973</v>
      </c>
      <c r="M26" s="441" t="s">
        <v>75</v>
      </c>
      <c r="N26" s="441" t="s">
        <v>75</v>
      </c>
      <c r="O26" s="374">
        <f t="shared" si="5"/>
        <v>75.590594059348646</v>
      </c>
      <c r="P26" s="356"/>
    </row>
    <row r="27" spans="1:16" x14ac:dyDescent="0.2">
      <c r="A27" s="356"/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</row>
    <row r="28" spans="1:16" ht="13.5" thickBot="1" x14ac:dyDescent="0.25">
      <c r="A28" s="356"/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</row>
    <row r="29" spans="1:16" s="7" customFormat="1" ht="15" customHeight="1" x14ac:dyDescent="0.2">
      <c r="A29" s="965"/>
      <c r="B29" s="1145"/>
      <c r="C29" s="1267" t="s">
        <v>36</v>
      </c>
      <c r="D29" s="1268"/>
      <c r="E29" s="1268"/>
      <c r="F29" s="1268"/>
      <c r="G29" s="1268"/>
      <c r="H29" s="1268"/>
      <c r="I29" s="1268"/>
      <c r="J29" s="1268"/>
      <c r="K29" s="1268"/>
      <c r="L29" s="1268"/>
      <c r="M29" s="1268"/>
      <c r="N29" s="1268"/>
      <c r="O29" s="1269"/>
      <c r="P29" s="965"/>
    </row>
    <row r="30" spans="1:16" s="7" customFormat="1" ht="15" customHeight="1" x14ac:dyDescent="0.2">
      <c r="A30" s="965"/>
      <c r="B30" s="1146" t="s">
        <v>29</v>
      </c>
      <c r="C30" s="1270" t="s">
        <v>14</v>
      </c>
      <c r="D30" s="1271"/>
      <c r="E30" s="1271"/>
      <c r="F30" s="1271"/>
      <c r="G30" s="1272"/>
      <c r="H30" s="1270" t="s">
        <v>15</v>
      </c>
      <c r="I30" s="1271"/>
      <c r="J30" s="1272"/>
      <c r="K30" s="1270" t="s">
        <v>33</v>
      </c>
      <c r="L30" s="1271"/>
      <c r="M30" s="1271"/>
      <c r="N30" s="1271"/>
      <c r="O30" s="1273"/>
      <c r="P30" s="965"/>
    </row>
    <row r="31" spans="1:16" s="7" customFormat="1" ht="15" customHeight="1" x14ac:dyDescent="0.2">
      <c r="B31" s="1147"/>
      <c r="C31" s="1148" t="s">
        <v>4</v>
      </c>
      <c r="D31" s="1148" t="s">
        <v>5</v>
      </c>
      <c r="E31" s="1149"/>
      <c r="F31" s="1149"/>
      <c r="G31" s="1148" t="s">
        <v>0</v>
      </c>
      <c r="H31" s="1150" t="s">
        <v>4</v>
      </c>
      <c r="I31" s="1148" t="s">
        <v>5</v>
      </c>
      <c r="J31" s="1148" t="s">
        <v>0</v>
      </c>
      <c r="K31" s="1150" t="s">
        <v>4</v>
      </c>
      <c r="L31" s="1148" t="s">
        <v>5</v>
      </c>
      <c r="M31" s="1149" t="s">
        <v>58</v>
      </c>
      <c r="N31" s="1149" t="s">
        <v>6</v>
      </c>
      <c r="O31" s="1151" t="s">
        <v>0</v>
      </c>
      <c r="P31" s="965"/>
    </row>
    <row r="32" spans="1:16" x14ac:dyDescent="0.2">
      <c r="A32" s="356"/>
      <c r="B32" s="587" t="s">
        <v>270</v>
      </c>
      <c r="C32" s="588">
        <f>(((C13/C7)^(1/54))-1)*100</f>
        <v>6.0408111289036448</v>
      </c>
      <c r="D32" s="588">
        <f>(((D13/D7)^(1/54))-1)*100</f>
        <v>7.9099951413633462</v>
      </c>
      <c r="E32" s="588"/>
      <c r="F32" s="588"/>
      <c r="G32" s="588">
        <f t="shared" ref="G32:L32" si="6">(((G13/G7)^(1/54))-1)*100</f>
        <v>7.0289153531784665</v>
      </c>
      <c r="H32" s="588">
        <f t="shared" si="6"/>
        <v>-0.72302899495310102</v>
      </c>
      <c r="I32" s="588">
        <f t="shared" si="6"/>
        <v>3.2658111202155116</v>
      </c>
      <c r="J32" s="588">
        <f t="shared" si="6"/>
        <v>2.3045476135499676</v>
      </c>
      <c r="K32" s="589">
        <f t="shared" si="6"/>
        <v>4.86297703557661</v>
      </c>
      <c r="L32" s="588">
        <f t="shared" si="6"/>
        <v>6.138734472072338</v>
      </c>
      <c r="M32" s="588"/>
      <c r="N32" s="588"/>
      <c r="O32" s="588">
        <f>(((O13/O7)^(1/54))-1)*100</f>
        <v>5.6468921048492327</v>
      </c>
      <c r="P32" s="356"/>
    </row>
    <row r="33" spans="1:16" x14ac:dyDescent="0.2">
      <c r="A33" s="356"/>
      <c r="B33" s="357" t="s">
        <v>30</v>
      </c>
      <c r="C33" s="367">
        <f t="shared" ref="C33:D37" si="7">(((C8/C7)^(1/10))-1)*100</f>
        <v>11.87290971639332</v>
      </c>
      <c r="D33" s="367">
        <f t="shared" si="7"/>
        <v>3.6678979101702813</v>
      </c>
      <c r="E33" s="367"/>
      <c r="F33" s="367"/>
      <c r="G33" s="367">
        <f t="shared" ref="G33:L37" si="8">(((G8/G7)^(1/10))-1)*100</f>
        <v>9.4896659493988835</v>
      </c>
      <c r="H33" s="367">
        <f t="shared" si="8"/>
        <v>2.2300919546113018</v>
      </c>
      <c r="I33" s="367">
        <f t="shared" si="8"/>
        <v>9.2481240329476133</v>
      </c>
      <c r="J33" s="367">
        <f t="shared" si="8"/>
        <v>6.5888985160151847</v>
      </c>
      <c r="K33" s="367">
        <f t="shared" si="8"/>
        <v>8.3039365235490372</v>
      </c>
      <c r="L33" s="367">
        <f t="shared" si="8"/>
        <v>7.5849049304861138</v>
      </c>
      <c r="M33" s="367"/>
      <c r="N33" s="367"/>
      <c r="O33" s="367">
        <f>(((O8/O7)^(1/10))-1)*100</f>
        <v>7.9739224058927194</v>
      </c>
      <c r="P33" s="356"/>
    </row>
    <row r="34" spans="1:16" x14ac:dyDescent="0.2">
      <c r="A34" s="356"/>
      <c r="B34" s="357" t="s">
        <v>31</v>
      </c>
      <c r="C34" s="367">
        <f t="shared" si="7"/>
        <v>9.0046540922604112</v>
      </c>
      <c r="D34" s="367">
        <f t="shared" si="7"/>
        <v>8.4928990025219022</v>
      </c>
      <c r="E34" s="367"/>
      <c r="F34" s="367"/>
      <c r="G34" s="367">
        <f t="shared" si="8"/>
        <v>8.8987604161468568</v>
      </c>
      <c r="H34" s="367">
        <f t="shared" si="8"/>
        <v>0.52569055831139799</v>
      </c>
      <c r="I34" s="367">
        <f t="shared" si="8"/>
        <v>4.1742657666295147</v>
      </c>
      <c r="J34" s="367">
        <f t="shared" si="8"/>
        <v>3.2086763931798545</v>
      </c>
      <c r="K34" s="367">
        <f t="shared" si="8"/>
        <v>7.3067499776836131</v>
      </c>
      <c r="L34" s="367">
        <f t="shared" si="8"/>
        <v>5.3666730617605518</v>
      </c>
      <c r="M34" s="442"/>
      <c r="N34" s="442"/>
      <c r="O34" s="367">
        <f>(((O9/O8)^(1/10))-1)*100</f>
        <v>6.4730843466311416</v>
      </c>
      <c r="P34" s="356"/>
    </row>
    <row r="35" spans="1:16" x14ac:dyDescent="0.2">
      <c r="A35" s="356"/>
      <c r="B35" s="357" t="s">
        <v>32</v>
      </c>
      <c r="C35" s="367">
        <f t="shared" si="7"/>
        <v>2.7654117229987563</v>
      </c>
      <c r="D35" s="367">
        <f t="shared" si="7"/>
        <v>5.8309848071778081</v>
      </c>
      <c r="E35" s="367"/>
      <c r="F35" s="367"/>
      <c r="G35" s="367">
        <f t="shared" si="8"/>
        <v>3.4559491234440909</v>
      </c>
      <c r="H35" s="367">
        <f t="shared" si="8"/>
        <v>0.98826981028465877</v>
      </c>
      <c r="I35" s="367">
        <f t="shared" si="8"/>
        <v>1.699344983130735</v>
      </c>
      <c r="J35" s="367">
        <f t="shared" si="8"/>
        <v>1.5412339370527661</v>
      </c>
      <c r="K35" s="367">
        <f t="shared" si="8"/>
        <v>2.5390095992125161</v>
      </c>
      <c r="L35" s="367">
        <f t="shared" si="8"/>
        <v>3.1990012246224886</v>
      </c>
      <c r="M35" s="442"/>
      <c r="N35" s="442"/>
      <c r="O35" s="367">
        <f>(((O10/O9)^(1/10))-1)*100</f>
        <v>2.8110880337577582</v>
      </c>
      <c r="P35" s="356"/>
    </row>
    <row r="36" spans="1:16" x14ac:dyDescent="0.2">
      <c r="A36" s="356"/>
      <c r="B36" s="357" t="s">
        <v>37</v>
      </c>
      <c r="C36" s="367">
        <f t="shared" si="7"/>
        <v>2.7495248034067998</v>
      </c>
      <c r="D36" s="367">
        <f t="shared" si="7"/>
        <v>12.603708387038349</v>
      </c>
      <c r="E36" s="367"/>
      <c r="F36" s="367"/>
      <c r="G36" s="367">
        <f t="shared" si="8"/>
        <v>6.1220856397987911</v>
      </c>
      <c r="H36" s="367">
        <f t="shared" si="8"/>
        <v>-12.072065905708151</v>
      </c>
      <c r="I36" s="367">
        <f t="shared" si="8"/>
        <v>-1.9331728027822681</v>
      </c>
      <c r="J36" s="367">
        <f t="shared" si="8"/>
        <v>-3.4382374388462811</v>
      </c>
      <c r="K36" s="367">
        <f t="shared" si="8"/>
        <v>1.7585380421311969</v>
      </c>
      <c r="L36" s="367">
        <f t="shared" si="8"/>
        <v>6.2888573267164682</v>
      </c>
      <c r="M36" s="442"/>
      <c r="N36" s="442"/>
      <c r="O36" s="367">
        <f>(((O11/O10)^(1/10))-1)*100</f>
        <v>3.8857327879979531</v>
      </c>
      <c r="P36" s="356"/>
    </row>
    <row r="37" spans="1:16" x14ac:dyDescent="0.2">
      <c r="A37" s="356"/>
      <c r="B37" s="358" t="s">
        <v>56</v>
      </c>
      <c r="C37" s="367">
        <f t="shared" si="7"/>
        <v>1.8694667612960458</v>
      </c>
      <c r="D37" s="367">
        <f t="shared" si="7"/>
        <v>5.2822728830636434</v>
      </c>
      <c r="E37" s="367"/>
      <c r="F37" s="367"/>
      <c r="G37" s="367">
        <f t="shared" si="8"/>
        <v>3.566069748522116</v>
      </c>
      <c r="H37" s="367">
        <f t="shared" si="8"/>
        <v>1.8102476241656396</v>
      </c>
      <c r="I37" s="367">
        <f t="shared" si="8"/>
        <v>3.7249662608955347</v>
      </c>
      <c r="J37" s="367">
        <f t="shared" si="8"/>
        <v>3.5749025517304522</v>
      </c>
      <c r="K37" s="367">
        <f t="shared" si="8"/>
        <v>1.867863002019976</v>
      </c>
      <c r="L37" s="367">
        <f t="shared" si="8"/>
        <v>4.8944134072639978</v>
      </c>
      <c r="M37" s="442"/>
      <c r="N37" s="442"/>
      <c r="O37" s="367">
        <f>(((O12/O11)^(1/10))-1)*100</f>
        <v>3.5670526720163576</v>
      </c>
      <c r="P37" s="356"/>
    </row>
    <row r="38" spans="1:16" ht="13.5" thickBot="1" x14ac:dyDescent="0.25">
      <c r="A38" s="356"/>
      <c r="B38" s="359" t="s">
        <v>363</v>
      </c>
      <c r="C38" s="374">
        <f>(((C13/C12)^(1/8))-1)*100</f>
        <v>5.8380992856031488</v>
      </c>
      <c r="D38" s="374">
        <f>(((D13/D12)^(1/8))-1)*100</f>
        <v>8.6946844166482471</v>
      </c>
      <c r="E38" s="441" t="s">
        <v>75</v>
      </c>
      <c r="F38" s="441" t="s">
        <v>75</v>
      </c>
      <c r="G38" s="374">
        <f t="shared" ref="G38:L38" si="9">(((G13/G12)^(1/8))-1)*100</f>
        <v>8.122001882807762</v>
      </c>
      <c r="H38" s="374">
        <f t="shared" si="9"/>
        <v>4.3929350636197295</v>
      </c>
      <c r="I38" s="374">
        <f t="shared" si="9"/>
        <v>1.2941257802955741</v>
      </c>
      <c r="J38" s="374">
        <f t="shared" si="9"/>
        <v>1.5378395761792563</v>
      </c>
      <c r="K38" s="374">
        <f t="shared" si="9"/>
        <v>5.800852013631097</v>
      </c>
      <c r="L38" s="374">
        <f t="shared" si="9"/>
        <v>7.2595846315198997</v>
      </c>
      <c r="M38" s="441" t="s">
        <v>75</v>
      </c>
      <c r="N38" s="441" t="s">
        <v>75</v>
      </c>
      <c r="O38" s="374">
        <f>(((O13/O12)^(1/8))-1)*100</f>
        <v>7.2908426041366159</v>
      </c>
      <c r="P38" s="356"/>
    </row>
    <row r="39" spans="1:16" x14ac:dyDescent="0.2">
      <c r="A39" s="356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</row>
    <row r="40" spans="1:16" x14ac:dyDescent="0.2">
      <c r="A40" s="35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</row>
    <row r="41" spans="1:16" x14ac:dyDescent="0.2">
      <c r="A41" s="356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</row>
    <row r="42" spans="1:16" x14ac:dyDescent="0.2">
      <c r="A42" s="356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</row>
    <row r="43" spans="1:16" x14ac:dyDescent="0.2">
      <c r="A43" s="356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</row>
    <row r="44" spans="1:16" x14ac:dyDescent="0.2">
      <c r="A44" s="356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</row>
    <row r="45" spans="1:16" x14ac:dyDescent="0.2">
      <c r="A45" s="356"/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</row>
    <row r="46" spans="1:16" x14ac:dyDescent="0.2">
      <c r="A46" s="356"/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</row>
    <row r="47" spans="1:16" x14ac:dyDescent="0.2">
      <c r="A47" s="356"/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</row>
    <row r="48" spans="1:16" x14ac:dyDescent="0.2">
      <c r="A48" s="356"/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</row>
    <row r="49" spans="1:16" x14ac:dyDescent="0.2">
      <c r="A49" s="356"/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</row>
    <row r="50" spans="1:16" x14ac:dyDescent="0.2">
      <c r="A50" s="356"/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</row>
    <row r="51" spans="1:16" x14ac:dyDescent="0.2">
      <c r="A51" s="356"/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</row>
    <row r="52" spans="1:16" x14ac:dyDescent="0.2">
      <c r="A52" s="356"/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</row>
    <row r="53" spans="1:16" x14ac:dyDescent="0.2">
      <c r="A53" s="356"/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</row>
    <row r="54" spans="1:16" x14ac:dyDescent="0.2">
      <c r="A54" s="356"/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</row>
    <row r="55" spans="1:16" x14ac:dyDescent="0.2">
      <c r="A55" s="356"/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</row>
    <row r="56" spans="1:16" x14ac:dyDescent="0.2">
      <c r="A56" s="356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</row>
    <row r="57" spans="1:16" x14ac:dyDescent="0.2">
      <c r="A57" s="356"/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</row>
    <row r="58" spans="1:16" x14ac:dyDescent="0.2">
      <c r="A58" s="356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</row>
    <row r="59" spans="1:16" x14ac:dyDescent="0.2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</row>
    <row r="60" spans="1:16" x14ac:dyDescent="0.2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</row>
    <row r="61" spans="1:16" x14ac:dyDescent="0.2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</row>
    <row r="62" spans="1:16" x14ac:dyDescent="0.2">
      <c r="A62" s="356"/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</row>
    <row r="63" spans="1:16" x14ac:dyDescent="0.2">
      <c r="A63" s="356"/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</row>
    <row r="64" spans="1:16" x14ac:dyDescent="0.2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</row>
    <row r="65" spans="1:16" x14ac:dyDescent="0.2">
      <c r="A65" s="356"/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</row>
  </sheetData>
  <mergeCells count="13">
    <mergeCell ref="C30:G30"/>
    <mergeCell ref="H30:J30"/>
    <mergeCell ref="K30:O30"/>
    <mergeCell ref="H5:J5"/>
    <mergeCell ref="K5:O5"/>
    <mergeCell ref="C5:G5"/>
    <mergeCell ref="A1:N1"/>
    <mergeCell ref="C4:O4"/>
    <mergeCell ref="C17:O17"/>
    <mergeCell ref="C29:O29"/>
    <mergeCell ref="C18:G18"/>
    <mergeCell ref="H18:J18"/>
    <mergeCell ref="K18:O18"/>
  </mergeCells>
  <phoneticPr fontId="0" type="noConversion"/>
  <pageMargins left="0.87" right="0.75" top="0.78" bottom="1" header="0" footer="0"/>
  <pageSetup paperSize="9" scale="5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4"/>
  <sheetViews>
    <sheetView view="pageBreakPreview" zoomScale="90" zoomScaleNormal="85" zoomScaleSheetLayoutView="90" workbookViewId="0">
      <selection activeCell="P22" sqref="P22"/>
    </sheetView>
  </sheetViews>
  <sheetFormatPr baseColWidth="10" defaultColWidth="11.42578125" defaultRowHeight="12.75" x14ac:dyDescent="0.2"/>
  <cols>
    <col min="1" max="1" width="2.85546875" style="73" customWidth="1"/>
    <col min="2" max="2" width="22.140625" style="73" customWidth="1"/>
    <col min="3" max="3" width="10.5703125" style="73" customWidth="1"/>
    <col min="4" max="4" width="9.7109375" style="73" customWidth="1"/>
    <col min="5" max="6" width="9.5703125" style="73" customWidth="1"/>
    <col min="7" max="7" width="8.7109375" style="73" customWidth="1"/>
    <col min="8" max="8" width="9.85546875" style="73" bestFit="1" customWidth="1"/>
    <col min="9" max="9" width="10.85546875" style="73" customWidth="1"/>
    <col min="10" max="10" width="9.85546875" style="73" bestFit="1" customWidth="1"/>
    <col min="11" max="11" width="9.28515625" style="73" customWidth="1"/>
    <col min="12" max="13" width="8.7109375" style="73" bestFit="1" customWidth="1"/>
    <col min="14" max="14" width="9.5703125" style="73" customWidth="1"/>
    <col min="15" max="15" width="8.85546875" style="73" customWidth="1"/>
    <col min="16" max="17" width="11.42578125" style="210"/>
    <col min="18" max="18" width="13.7109375" style="210" bestFit="1" customWidth="1"/>
    <col min="19" max="19" width="14.28515625" style="210" bestFit="1" customWidth="1"/>
    <col min="20" max="20" width="13.7109375" style="210" bestFit="1" customWidth="1"/>
    <col min="21" max="22" width="11.5703125" style="210" customWidth="1"/>
    <col min="23" max="23" width="11.42578125" style="591"/>
    <col min="24" max="27" width="11.42578125" style="178"/>
    <col min="28" max="16384" width="11.42578125" style="73"/>
  </cols>
  <sheetData>
    <row r="1" spans="1:25" ht="15.75" x14ac:dyDescent="0.25">
      <c r="A1" s="590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25" ht="15" customHeight="1" x14ac:dyDescent="0.3">
      <c r="A2" s="72"/>
      <c r="B2" s="377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5" s="178" customFormat="1" ht="11.25" customHeight="1" thickBo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10"/>
      <c r="Q3" s="210"/>
      <c r="R3" s="210"/>
      <c r="S3" s="210"/>
      <c r="T3" s="210"/>
      <c r="U3" s="210"/>
      <c r="V3" s="210"/>
      <c r="W3" s="591"/>
    </row>
    <row r="4" spans="1:25" s="178" customFormat="1" ht="15" customHeight="1" x14ac:dyDescent="0.2">
      <c r="A4" s="72"/>
      <c r="B4" s="1262" t="s">
        <v>18</v>
      </c>
      <c r="C4" s="1264" t="s">
        <v>0</v>
      </c>
      <c r="D4" s="1155" t="s">
        <v>0</v>
      </c>
      <c r="E4" s="1156"/>
      <c r="F4" s="1156"/>
      <c r="G4" s="1157"/>
      <c r="H4" s="1156" t="s">
        <v>14</v>
      </c>
      <c r="I4" s="1156"/>
      <c r="J4" s="1158"/>
      <c r="K4" s="1158"/>
      <c r="L4" s="1159"/>
      <c r="M4" s="1156" t="s">
        <v>15</v>
      </c>
      <c r="N4" s="1158"/>
      <c r="O4" s="1165"/>
      <c r="P4" s="210"/>
      <c r="Q4" s="210"/>
      <c r="R4" s="210"/>
      <c r="S4" s="210"/>
      <c r="T4" s="210"/>
      <c r="U4" s="210"/>
      <c r="V4" s="210"/>
      <c r="W4" s="591"/>
    </row>
    <row r="5" spans="1:25" s="178" customFormat="1" ht="13.5" thickBot="1" x14ac:dyDescent="0.25">
      <c r="A5" s="72"/>
      <c r="B5" s="1263"/>
      <c r="C5" s="1265"/>
      <c r="D5" s="1160" t="s">
        <v>4</v>
      </c>
      <c r="E5" s="1161" t="s">
        <v>5</v>
      </c>
      <c r="F5" s="1162" t="s">
        <v>58</v>
      </c>
      <c r="G5" s="1162" t="s">
        <v>6</v>
      </c>
      <c r="H5" s="1162" t="s">
        <v>0</v>
      </c>
      <c r="I5" s="1161" t="s">
        <v>4</v>
      </c>
      <c r="J5" s="1161" t="s">
        <v>5</v>
      </c>
      <c r="K5" s="1161" t="s">
        <v>58</v>
      </c>
      <c r="L5" s="1161" t="s">
        <v>6</v>
      </c>
      <c r="M5" s="1163" t="s">
        <v>0</v>
      </c>
      <c r="N5" s="1164" t="s">
        <v>4</v>
      </c>
      <c r="O5" s="1166" t="s">
        <v>5</v>
      </c>
      <c r="P5" s="210"/>
      <c r="Q5" s="210"/>
      <c r="R5" s="210"/>
      <c r="S5" s="210"/>
      <c r="T5" s="210"/>
      <c r="U5" s="210"/>
      <c r="V5" s="210"/>
      <c r="W5" s="592"/>
      <c r="X5" s="289"/>
      <c r="Y5" s="289"/>
    </row>
    <row r="6" spans="1:25" s="178" customFormat="1" x14ac:dyDescent="0.2">
      <c r="A6" s="72"/>
      <c r="B6" s="290"/>
      <c r="C6" s="291"/>
      <c r="D6" s="292"/>
      <c r="E6" s="293"/>
      <c r="F6" s="294"/>
      <c r="G6" s="295"/>
      <c r="H6" s="296"/>
      <c r="I6" s="277"/>
      <c r="J6" s="277"/>
      <c r="K6" s="277"/>
      <c r="L6" s="278"/>
      <c r="M6" s="279"/>
      <c r="N6" s="277"/>
      <c r="O6" s="281"/>
      <c r="P6" s="210"/>
      <c r="Q6" s="591"/>
      <c r="R6" s="210"/>
      <c r="S6" s="210"/>
      <c r="T6" s="210"/>
      <c r="U6" s="210"/>
      <c r="V6" s="210"/>
      <c r="W6" s="592"/>
      <c r="X6" s="289"/>
      <c r="Y6" s="289"/>
    </row>
    <row r="7" spans="1:25" s="178" customFormat="1" x14ac:dyDescent="0.2">
      <c r="A7" s="72"/>
      <c r="B7" s="297">
        <v>1995</v>
      </c>
      <c r="C7" s="443">
        <f t="shared" ref="C7:C12" si="0">SUM(D7:G7)</f>
        <v>16880.114601000001</v>
      </c>
      <c r="D7" s="444">
        <f t="shared" ref="D7:E12" si="1">(I7+N7)</f>
        <v>12937.553461</v>
      </c>
      <c r="E7" s="445">
        <f t="shared" si="1"/>
        <v>3942.5611400000003</v>
      </c>
      <c r="F7" s="446"/>
      <c r="G7" s="477" t="s">
        <v>7</v>
      </c>
      <c r="H7" s="447">
        <f t="shared" ref="H7:H25" si="2">SUM(I7:L7)</f>
        <v>13106.313096999998</v>
      </c>
      <c r="I7" s="448">
        <v>11540.590328999999</v>
      </c>
      <c r="J7" s="448">
        <v>1565.7227680000001</v>
      </c>
      <c r="K7" s="448"/>
      <c r="L7" s="478" t="s">
        <v>243</v>
      </c>
      <c r="M7" s="450">
        <f t="shared" ref="M7:M25" si="3">SUM(N7:O7)</f>
        <v>3773.801504</v>
      </c>
      <c r="N7" s="448">
        <v>1396.9631319999999</v>
      </c>
      <c r="O7" s="1247">
        <v>2376.8383720000002</v>
      </c>
      <c r="P7" s="210"/>
      <c r="Q7" s="591"/>
      <c r="R7" s="210"/>
      <c r="S7" s="210" t="s">
        <v>4</v>
      </c>
      <c r="T7" s="210" t="s">
        <v>5</v>
      </c>
      <c r="U7" s="593" t="s">
        <v>58</v>
      </c>
      <c r="V7" s="593" t="s">
        <v>6</v>
      </c>
      <c r="W7" s="594"/>
      <c r="X7" s="298"/>
      <c r="Y7" s="299"/>
    </row>
    <row r="8" spans="1:25" s="178" customFormat="1" x14ac:dyDescent="0.2">
      <c r="A8" s="72"/>
      <c r="B8" s="290">
        <v>1996</v>
      </c>
      <c r="C8" s="451">
        <f t="shared" si="0"/>
        <v>17279.812292999999</v>
      </c>
      <c r="D8" s="452">
        <f t="shared" si="1"/>
        <v>13323.572077999999</v>
      </c>
      <c r="E8" s="453">
        <f t="shared" si="1"/>
        <v>3955.8302150000004</v>
      </c>
      <c r="F8" s="454"/>
      <c r="G8" s="454">
        <f>+L8</f>
        <v>0.41</v>
      </c>
      <c r="H8" s="454">
        <f t="shared" si="2"/>
        <v>13307.577020999999</v>
      </c>
      <c r="I8" s="455">
        <v>11847.925377</v>
      </c>
      <c r="J8" s="455">
        <v>1459.2416440000002</v>
      </c>
      <c r="K8" s="455"/>
      <c r="L8" s="456">
        <v>0.41</v>
      </c>
      <c r="M8" s="457">
        <f t="shared" si="3"/>
        <v>3972.2352720000004</v>
      </c>
      <c r="N8" s="455">
        <v>1475.6467010000001</v>
      </c>
      <c r="O8" s="1248">
        <v>2496.5885710000002</v>
      </c>
      <c r="P8" s="210"/>
      <c r="Q8" s="591"/>
      <c r="R8" s="210">
        <v>1995</v>
      </c>
      <c r="S8" s="595">
        <f t="shared" ref="S8:S29" si="4">D7</f>
        <v>12937.553461</v>
      </c>
      <c r="T8" s="595">
        <f t="shared" ref="T8:T29" si="5">E7</f>
        <v>3942.5611400000003</v>
      </c>
      <c r="U8" s="210"/>
      <c r="V8" s="591"/>
      <c r="W8" s="594"/>
      <c r="X8" s="298"/>
      <c r="Y8" s="299"/>
    </row>
    <row r="9" spans="1:25" s="178" customFormat="1" x14ac:dyDescent="0.2">
      <c r="A9" s="72"/>
      <c r="B9" s="297">
        <v>1997</v>
      </c>
      <c r="C9" s="458">
        <f t="shared" si="0"/>
        <v>17953.407575000001</v>
      </c>
      <c r="D9" s="444">
        <f t="shared" si="1"/>
        <v>13214.529482000002</v>
      </c>
      <c r="E9" s="445">
        <f t="shared" si="1"/>
        <v>4738.3224370000007</v>
      </c>
      <c r="F9" s="446"/>
      <c r="G9" s="446">
        <f t="shared" ref="G9:G22" si="6">+L9</f>
        <v>0.55565599999999993</v>
      </c>
      <c r="H9" s="447">
        <f t="shared" si="2"/>
        <v>15348.556876000002</v>
      </c>
      <c r="I9" s="448">
        <v>12264.791790000001</v>
      </c>
      <c r="J9" s="448">
        <v>3083.2094300000008</v>
      </c>
      <c r="K9" s="448"/>
      <c r="L9" s="449">
        <v>0.55565599999999993</v>
      </c>
      <c r="M9" s="450">
        <f t="shared" si="3"/>
        <v>2604.8506989999996</v>
      </c>
      <c r="N9" s="448">
        <v>949.73769199999992</v>
      </c>
      <c r="O9" s="1247">
        <v>1655.1130069999999</v>
      </c>
      <c r="P9" s="210"/>
      <c r="Q9" s="591"/>
      <c r="R9" s="210">
        <v>1996</v>
      </c>
      <c r="S9" s="595">
        <f t="shared" si="4"/>
        <v>13323.572077999999</v>
      </c>
      <c r="T9" s="595">
        <f t="shared" si="5"/>
        <v>3955.8302150000004</v>
      </c>
      <c r="U9" s="210"/>
      <c r="V9" s="591"/>
      <c r="W9" s="594"/>
      <c r="X9" s="298"/>
      <c r="Y9" s="299"/>
    </row>
    <row r="10" spans="1:25" s="178" customFormat="1" x14ac:dyDescent="0.2">
      <c r="A10" s="72"/>
      <c r="B10" s="290">
        <v>1998</v>
      </c>
      <c r="C10" s="459">
        <f t="shared" si="0"/>
        <v>18582.538846000003</v>
      </c>
      <c r="D10" s="452">
        <f t="shared" si="1"/>
        <v>13808.285138000003</v>
      </c>
      <c r="E10" s="453">
        <f t="shared" si="1"/>
        <v>4773.7272680000005</v>
      </c>
      <c r="F10" s="454"/>
      <c r="G10" s="454">
        <f t="shared" si="6"/>
        <v>0.52644000000000002</v>
      </c>
      <c r="H10" s="460">
        <f t="shared" si="2"/>
        <v>16815.936847000004</v>
      </c>
      <c r="I10" s="455">
        <v>13367.193777000002</v>
      </c>
      <c r="J10" s="455">
        <v>3448.2166299999999</v>
      </c>
      <c r="K10" s="455"/>
      <c r="L10" s="461">
        <v>0.52644000000000002</v>
      </c>
      <c r="M10" s="462">
        <f t="shared" si="3"/>
        <v>1766.6019990000002</v>
      </c>
      <c r="N10" s="455">
        <v>441.09136100000001</v>
      </c>
      <c r="O10" s="1248">
        <v>1325.5106380000002</v>
      </c>
      <c r="P10" s="210"/>
      <c r="Q10" s="591"/>
      <c r="R10" s="210">
        <v>1997</v>
      </c>
      <c r="S10" s="595">
        <f t="shared" si="4"/>
        <v>13214.529482000002</v>
      </c>
      <c r="T10" s="595">
        <f t="shared" si="5"/>
        <v>4738.3224370000007</v>
      </c>
      <c r="U10" s="210"/>
      <c r="V10" s="591"/>
      <c r="W10" s="594"/>
      <c r="X10" s="298"/>
      <c r="Y10" s="299"/>
    </row>
    <row r="11" spans="1:25" s="178" customFormat="1" x14ac:dyDescent="0.2">
      <c r="A11" s="72"/>
      <c r="B11" s="297">
        <v>1999</v>
      </c>
      <c r="C11" s="458">
        <f t="shared" si="0"/>
        <v>19049.617396999998</v>
      </c>
      <c r="D11" s="444">
        <f t="shared" si="1"/>
        <v>14540.581285</v>
      </c>
      <c r="E11" s="445">
        <f t="shared" si="1"/>
        <v>4508.4115320000001</v>
      </c>
      <c r="F11" s="446"/>
      <c r="G11" s="446">
        <f t="shared" si="6"/>
        <v>0.62458000000000002</v>
      </c>
      <c r="H11" s="447">
        <f t="shared" si="2"/>
        <v>17366.221878</v>
      </c>
      <c r="I11" s="448">
        <v>14110.592026</v>
      </c>
      <c r="J11" s="448">
        <v>3255.0052719999999</v>
      </c>
      <c r="K11" s="448"/>
      <c r="L11" s="449">
        <v>0.62458000000000002</v>
      </c>
      <c r="M11" s="450">
        <f t="shared" si="3"/>
        <v>1683.3955190000001</v>
      </c>
      <c r="N11" s="448">
        <v>429.98925900000006</v>
      </c>
      <c r="O11" s="1247">
        <v>1253.40626</v>
      </c>
      <c r="P11" s="210"/>
      <c r="Q11" s="591"/>
      <c r="R11" s="210">
        <v>1998</v>
      </c>
      <c r="S11" s="595">
        <f t="shared" si="4"/>
        <v>13808.285138000003</v>
      </c>
      <c r="T11" s="595">
        <f t="shared" si="5"/>
        <v>4773.7272680000005</v>
      </c>
      <c r="U11" s="210"/>
      <c r="V11" s="591"/>
      <c r="W11" s="594"/>
      <c r="X11" s="298"/>
      <c r="Y11" s="299"/>
    </row>
    <row r="12" spans="1:25" s="178" customFormat="1" x14ac:dyDescent="0.2">
      <c r="A12" s="72"/>
      <c r="B12" s="290">
        <v>2000</v>
      </c>
      <c r="C12" s="451">
        <f t="shared" si="0"/>
        <v>19922.697338000002</v>
      </c>
      <c r="D12" s="452">
        <f t="shared" si="1"/>
        <v>16176.051366</v>
      </c>
      <c r="E12" s="453">
        <f t="shared" si="1"/>
        <v>3745.8002719999995</v>
      </c>
      <c r="F12" s="454"/>
      <c r="G12" s="454">
        <f t="shared" si="6"/>
        <v>0.84570000000000001</v>
      </c>
      <c r="H12" s="460">
        <f t="shared" si="2"/>
        <v>18327.897719000001</v>
      </c>
      <c r="I12" s="455">
        <v>15747.323264999999</v>
      </c>
      <c r="J12" s="455">
        <v>2579.7287539999998</v>
      </c>
      <c r="K12" s="455"/>
      <c r="L12" s="461">
        <v>0.84570000000000001</v>
      </c>
      <c r="M12" s="462">
        <f t="shared" si="3"/>
        <v>1594.7996189999994</v>
      </c>
      <c r="N12" s="455">
        <v>428.72810099999998</v>
      </c>
      <c r="O12" s="1248">
        <v>1166.0715179999995</v>
      </c>
      <c r="P12" s="210"/>
      <c r="Q12" s="591"/>
      <c r="R12" s="210">
        <v>1999</v>
      </c>
      <c r="S12" s="595">
        <f t="shared" si="4"/>
        <v>14540.581285</v>
      </c>
      <c r="T12" s="595">
        <f t="shared" si="5"/>
        <v>4508.4115320000001</v>
      </c>
      <c r="U12" s="210"/>
      <c r="V12" s="210"/>
      <c r="W12" s="594"/>
      <c r="X12" s="298"/>
      <c r="Y12" s="299"/>
    </row>
    <row r="13" spans="1:25" s="178" customFormat="1" x14ac:dyDescent="0.2">
      <c r="A13" s="72"/>
      <c r="B13" s="300">
        <v>2001</v>
      </c>
      <c r="C13" s="443">
        <f t="shared" ref="C13:C25" si="7">SUM(D13:G13)</f>
        <v>20785.725534999998</v>
      </c>
      <c r="D13" s="444">
        <f>(I13+N13)</f>
        <v>17614.760199999997</v>
      </c>
      <c r="E13" s="445">
        <f>(J13+O13)</f>
        <v>3169.7389349999999</v>
      </c>
      <c r="F13" s="446"/>
      <c r="G13" s="446">
        <f t="shared" si="6"/>
        <v>1.2264000000000002</v>
      </c>
      <c r="H13" s="447">
        <f t="shared" si="2"/>
        <v>19214.506641999997</v>
      </c>
      <c r="I13" s="448">
        <v>17188.330773999998</v>
      </c>
      <c r="J13" s="448">
        <v>2024.9494680000003</v>
      </c>
      <c r="K13" s="448"/>
      <c r="L13" s="449">
        <v>1.2264000000000002</v>
      </c>
      <c r="M13" s="450">
        <f t="shared" si="3"/>
        <v>1571.2188929999998</v>
      </c>
      <c r="N13" s="448">
        <v>426.42942600000003</v>
      </c>
      <c r="O13" s="1247">
        <v>1144.7894669999996</v>
      </c>
      <c r="P13" s="210"/>
      <c r="Q13" s="591"/>
      <c r="R13" s="210">
        <v>2000</v>
      </c>
      <c r="S13" s="595">
        <f t="shared" si="4"/>
        <v>16176.051366</v>
      </c>
      <c r="T13" s="595">
        <f t="shared" si="5"/>
        <v>3745.8002719999995</v>
      </c>
      <c r="U13" s="210"/>
      <c r="V13" s="210"/>
      <c r="W13" s="591"/>
    </row>
    <row r="14" spans="1:25" x14ac:dyDescent="0.2">
      <c r="A14" s="72"/>
      <c r="B14" s="283">
        <v>2002</v>
      </c>
      <c r="C14" s="451">
        <f t="shared" si="7"/>
        <v>21982.323172000008</v>
      </c>
      <c r="D14" s="452">
        <f t="shared" ref="D14:E26" si="8">SUM(I14,N14)</f>
        <v>18040.127915000005</v>
      </c>
      <c r="E14" s="453">
        <f t="shared" si="8"/>
        <v>3940.9688570000035</v>
      </c>
      <c r="F14" s="453"/>
      <c r="G14" s="453">
        <f t="shared" si="6"/>
        <v>1.2264000000000002</v>
      </c>
      <c r="H14" s="454">
        <f t="shared" si="2"/>
        <v>20419.508673000004</v>
      </c>
      <c r="I14" s="461">
        <v>17638.158238000004</v>
      </c>
      <c r="J14" s="461">
        <v>2780.1240350000003</v>
      </c>
      <c r="K14" s="461"/>
      <c r="L14" s="461">
        <v>1.2264000000000002</v>
      </c>
      <c r="M14" s="462">
        <f t="shared" si="3"/>
        <v>1562.8144990000035</v>
      </c>
      <c r="N14" s="455">
        <v>401.9696770000001</v>
      </c>
      <c r="O14" s="1248">
        <v>1160.8448220000034</v>
      </c>
      <c r="R14" s="210">
        <v>2001</v>
      </c>
      <c r="S14" s="595">
        <f t="shared" si="4"/>
        <v>17614.760199999997</v>
      </c>
      <c r="T14" s="595">
        <f t="shared" si="5"/>
        <v>3169.7389349999999</v>
      </c>
      <c r="W14" s="594"/>
      <c r="X14" s="298"/>
      <c r="Y14" s="299"/>
    </row>
    <row r="15" spans="1:25" x14ac:dyDescent="0.2">
      <c r="A15" s="72"/>
      <c r="B15" s="300">
        <v>2003</v>
      </c>
      <c r="C15" s="443">
        <f t="shared" si="7"/>
        <v>22923.353873999997</v>
      </c>
      <c r="D15" s="444">
        <f t="shared" si="8"/>
        <v>18533.720860999994</v>
      </c>
      <c r="E15" s="445">
        <f t="shared" si="8"/>
        <v>4388.4066130000028</v>
      </c>
      <c r="F15" s="445"/>
      <c r="G15" s="445">
        <f t="shared" si="6"/>
        <v>1.2264000000000002</v>
      </c>
      <c r="H15" s="446">
        <f t="shared" si="2"/>
        <v>21361.462929999994</v>
      </c>
      <c r="I15" s="449">
        <v>18118.333137999995</v>
      </c>
      <c r="J15" s="449">
        <v>3241.9033919999997</v>
      </c>
      <c r="K15" s="449"/>
      <c r="L15" s="449">
        <v>1.2264000000000002</v>
      </c>
      <c r="M15" s="450">
        <f t="shared" si="3"/>
        <v>1561.8909440000034</v>
      </c>
      <c r="N15" s="448">
        <v>415.38772300000005</v>
      </c>
      <c r="O15" s="1247">
        <v>1146.5032210000034</v>
      </c>
      <c r="R15" s="210">
        <v>2002</v>
      </c>
      <c r="S15" s="595">
        <f t="shared" si="4"/>
        <v>18040.127915000005</v>
      </c>
      <c r="T15" s="595">
        <f t="shared" si="5"/>
        <v>3940.9688570000035</v>
      </c>
      <c r="W15" s="594"/>
      <c r="X15" s="298"/>
      <c r="Y15" s="299"/>
    </row>
    <row r="16" spans="1:25" x14ac:dyDescent="0.2">
      <c r="A16" s="72"/>
      <c r="B16" s="283">
        <v>2004</v>
      </c>
      <c r="C16" s="451">
        <f t="shared" si="7"/>
        <v>24267.012071000005</v>
      </c>
      <c r="D16" s="452">
        <f t="shared" si="8"/>
        <v>17525.338961000005</v>
      </c>
      <c r="E16" s="453">
        <f t="shared" si="8"/>
        <v>6740.4467100000011</v>
      </c>
      <c r="F16" s="453"/>
      <c r="G16" s="453">
        <f t="shared" si="6"/>
        <v>1.2264000000000002</v>
      </c>
      <c r="H16" s="454">
        <f t="shared" si="2"/>
        <v>22619.938791000004</v>
      </c>
      <c r="I16" s="461">
        <v>17100.664633000004</v>
      </c>
      <c r="J16" s="461">
        <v>5518.0477580000006</v>
      </c>
      <c r="K16" s="461"/>
      <c r="L16" s="461">
        <v>1.2264000000000002</v>
      </c>
      <c r="M16" s="462">
        <f t="shared" si="3"/>
        <v>1647.0732800000003</v>
      </c>
      <c r="N16" s="455">
        <v>424.674328</v>
      </c>
      <c r="O16" s="1248">
        <v>1222.3989520000002</v>
      </c>
      <c r="R16" s="210">
        <v>2003</v>
      </c>
      <c r="S16" s="595">
        <f t="shared" si="4"/>
        <v>18533.720860999994</v>
      </c>
      <c r="T16" s="595">
        <f t="shared" si="5"/>
        <v>4388.4066130000028</v>
      </c>
      <c r="W16" s="594"/>
      <c r="X16" s="298"/>
      <c r="Y16" s="299"/>
    </row>
    <row r="17" spans="1:27" x14ac:dyDescent="0.2">
      <c r="A17" s="72"/>
      <c r="B17" s="300">
        <v>2005</v>
      </c>
      <c r="C17" s="443">
        <f t="shared" si="7"/>
        <v>25509.736815000004</v>
      </c>
      <c r="D17" s="444">
        <f t="shared" si="8"/>
        <v>17976.993336</v>
      </c>
      <c r="E17" s="445">
        <f t="shared" si="8"/>
        <v>7531.5170790000029</v>
      </c>
      <c r="F17" s="445"/>
      <c r="G17" s="445">
        <f t="shared" si="6"/>
        <v>1.2264000000000002</v>
      </c>
      <c r="H17" s="446">
        <f t="shared" si="2"/>
        <v>23810.874944792748</v>
      </c>
      <c r="I17" s="449">
        <v>17567.105377792748</v>
      </c>
      <c r="J17" s="449">
        <v>6242.5431669999998</v>
      </c>
      <c r="K17" s="449"/>
      <c r="L17" s="449">
        <v>1.2264000000000002</v>
      </c>
      <c r="M17" s="450">
        <f t="shared" si="3"/>
        <v>1698.8618702072531</v>
      </c>
      <c r="N17" s="448">
        <v>409.88795820724977</v>
      </c>
      <c r="O17" s="1247">
        <v>1288.9739120000033</v>
      </c>
      <c r="R17" s="210">
        <v>2004</v>
      </c>
      <c r="S17" s="595">
        <f t="shared" si="4"/>
        <v>17525.338961000005</v>
      </c>
      <c r="T17" s="595">
        <f t="shared" si="5"/>
        <v>6740.4467100000011</v>
      </c>
      <c r="W17" s="594"/>
      <c r="X17" s="298"/>
      <c r="Y17" s="299"/>
    </row>
    <row r="18" spans="1:27" x14ac:dyDescent="0.2">
      <c r="A18" s="72"/>
      <c r="B18" s="301">
        <v>2006</v>
      </c>
      <c r="C18" s="451">
        <f>SUM(D18:G18)</f>
        <v>27369.828727579996</v>
      </c>
      <c r="D18" s="452">
        <f t="shared" si="8"/>
        <v>19594.347163999995</v>
      </c>
      <c r="E18" s="453">
        <f t="shared" si="8"/>
        <v>7774.255163580001</v>
      </c>
      <c r="F18" s="453"/>
      <c r="G18" s="453">
        <f t="shared" si="6"/>
        <v>1.2264000000000002</v>
      </c>
      <c r="H18" s="454">
        <f t="shared" si="2"/>
        <v>25613.763789958582</v>
      </c>
      <c r="I18" s="461">
        <v>19160.751642958581</v>
      </c>
      <c r="J18" s="461">
        <v>6451.7857470000008</v>
      </c>
      <c r="K18" s="461"/>
      <c r="L18" s="461">
        <v>1.2264000000000002</v>
      </c>
      <c r="M18" s="462">
        <f t="shared" si="3"/>
        <v>1756.0649376214139</v>
      </c>
      <c r="N18" s="455">
        <v>433.59552104141386</v>
      </c>
      <c r="O18" s="1248">
        <v>1322.4694165800001</v>
      </c>
      <c r="R18" s="210">
        <v>2005</v>
      </c>
      <c r="S18" s="595">
        <f t="shared" si="4"/>
        <v>17976.993336</v>
      </c>
      <c r="T18" s="595">
        <f t="shared" si="5"/>
        <v>7531.5170790000029</v>
      </c>
      <c r="W18" s="594"/>
      <c r="X18" s="298"/>
      <c r="Y18" s="299"/>
    </row>
    <row r="19" spans="1:27" x14ac:dyDescent="0.2">
      <c r="A19" s="72"/>
      <c r="B19" s="287">
        <v>2007</v>
      </c>
      <c r="C19" s="458">
        <f t="shared" si="7"/>
        <v>29943.047142000003</v>
      </c>
      <c r="D19" s="444">
        <f t="shared" si="8"/>
        <v>19548.782020000002</v>
      </c>
      <c r="E19" s="444">
        <f t="shared" si="8"/>
        <v>10393.038722000001</v>
      </c>
      <c r="F19" s="444"/>
      <c r="G19" s="445">
        <f t="shared" si="6"/>
        <v>1.2264000000000002</v>
      </c>
      <c r="H19" s="446">
        <f t="shared" si="2"/>
        <v>28200.491090340001</v>
      </c>
      <c r="I19" s="449">
        <v>19107.193966340001</v>
      </c>
      <c r="J19" s="449">
        <v>9092.0707240000011</v>
      </c>
      <c r="K19" s="449"/>
      <c r="L19" s="449">
        <v>1.2264000000000002</v>
      </c>
      <c r="M19" s="450">
        <f t="shared" si="3"/>
        <v>1742.5560516600003</v>
      </c>
      <c r="N19" s="448">
        <v>441.58805366000001</v>
      </c>
      <c r="O19" s="1247">
        <v>1300.9679980000003</v>
      </c>
      <c r="R19" s="210">
        <v>2006</v>
      </c>
      <c r="S19" s="595">
        <f t="shared" si="4"/>
        <v>19594.347163999995</v>
      </c>
      <c r="T19" s="595">
        <f t="shared" si="5"/>
        <v>7774.255163580001</v>
      </c>
      <c r="W19" s="594"/>
      <c r="X19" s="298"/>
      <c r="Y19" s="299"/>
    </row>
    <row r="20" spans="1:27" x14ac:dyDescent="0.2">
      <c r="A20" s="72"/>
      <c r="B20" s="302">
        <v>2008</v>
      </c>
      <c r="C20" s="463">
        <f t="shared" si="7"/>
        <v>32463.106282999997</v>
      </c>
      <c r="D20" s="464">
        <f t="shared" si="8"/>
        <v>19059.617748999997</v>
      </c>
      <c r="E20" s="464">
        <f t="shared" si="8"/>
        <v>13402.262134000001</v>
      </c>
      <c r="F20" s="464"/>
      <c r="G20" s="465">
        <f t="shared" si="6"/>
        <v>1.2264000000000004</v>
      </c>
      <c r="H20" s="466">
        <f t="shared" si="2"/>
        <v>30574.711255999999</v>
      </c>
      <c r="I20" s="467">
        <v>18607.792106999997</v>
      </c>
      <c r="J20" s="467">
        <v>11965.692749000002</v>
      </c>
      <c r="K20" s="467"/>
      <c r="L20" s="467">
        <v>1.2264000000000004</v>
      </c>
      <c r="M20" s="468">
        <f t="shared" si="3"/>
        <v>1888.3950269999998</v>
      </c>
      <c r="N20" s="469">
        <v>451.82564200000002</v>
      </c>
      <c r="O20" s="1249">
        <v>1436.5693849999998</v>
      </c>
      <c r="R20" s="585">
        <v>2007</v>
      </c>
      <c r="S20" s="595">
        <f t="shared" si="4"/>
        <v>19548.782020000002</v>
      </c>
      <c r="T20" s="595">
        <f t="shared" si="5"/>
        <v>10393.038722000001</v>
      </c>
      <c r="W20" s="594"/>
      <c r="X20" s="298"/>
      <c r="Y20" s="299"/>
    </row>
    <row r="21" spans="1:27" x14ac:dyDescent="0.2">
      <c r="A21" s="72"/>
      <c r="B21" s="287">
        <v>2009</v>
      </c>
      <c r="C21" s="458">
        <f t="shared" si="7"/>
        <v>32944.735820999995</v>
      </c>
      <c r="D21" s="444">
        <f t="shared" si="8"/>
        <v>19903.776404</v>
      </c>
      <c r="E21" s="444">
        <f t="shared" si="8"/>
        <v>13039.733016999999</v>
      </c>
      <c r="F21" s="444"/>
      <c r="G21" s="445">
        <f t="shared" si="6"/>
        <v>1.2264000000000002</v>
      </c>
      <c r="H21" s="446">
        <f t="shared" si="2"/>
        <v>30921.902782999998</v>
      </c>
      <c r="I21" s="449">
        <v>19419.221612000001</v>
      </c>
      <c r="J21" s="449">
        <v>11501.454770999999</v>
      </c>
      <c r="K21" s="449"/>
      <c r="L21" s="449">
        <v>1.2264000000000002</v>
      </c>
      <c r="M21" s="450">
        <f t="shared" si="3"/>
        <v>2022.8330380000002</v>
      </c>
      <c r="N21" s="448">
        <v>484.55479200000008</v>
      </c>
      <c r="O21" s="1247">
        <v>1538.2782460000001</v>
      </c>
      <c r="R21" s="210">
        <v>2008</v>
      </c>
      <c r="S21" s="595">
        <f t="shared" si="4"/>
        <v>19059.617748999997</v>
      </c>
      <c r="T21" s="595">
        <f t="shared" si="5"/>
        <v>13402.262134000001</v>
      </c>
      <c r="W21" s="594"/>
      <c r="X21" s="298"/>
      <c r="Y21" s="299"/>
    </row>
    <row r="22" spans="1:27" x14ac:dyDescent="0.2">
      <c r="A22" s="72"/>
      <c r="B22" s="302">
        <v>2010</v>
      </c>
      <c r="C22" s="463">
        <f t="shared" si="7"/>
        <v>35908.007941199998</v>
      </c>
      <c r="D22" s="464">
        <f t="shared" si="8"/>
        <v>20052.129280199999</v>
      </c>
      <c r="E22" s="464">
        <f t="shared" si="8"/>
        <v>15854.652260999999</v>
      </c>
      <c r="F22" s="464"/>
      <c r="G22" s="465">
        <f t="shared" si="6"/>
        <v>1.2264000000000002</v>
      </c>
      <c r="H22" s="466">
        <f t="shared" si="2"/>
        <v>33545.815807199993</v>
      </c>
      <c r="I22" s="467">
        <v>19567.404609199999</v>
      </c>
      <c r="J22" s="469">
        <v>13977.184797999998</v>
      </c>
      <c r="K22" s="469"/>
      <c r="L22" s="467">
        <v>1.2264000000000002</v>
      </c>
      <c r="M22" s="468">
        <f t="shared" si="3"/>
        <v>2362.1921339999999</v>
      </c>
      <c r="N22" s="469">
        <v>484.72467099999994</v>
      </c>
      <c r="O22" s="1249">
        <v>1877.467463</v>
      </c>
      <c r="R22" s="210">
        <v>2009</v>
      </c>
      <c r="S22" s="595">
        <f t="shared" si="4"/>
        <v>19903.776404</v>
      </c>
      <c r="T22" s="595">
        <f t="shared" si="5"/>
        <v>13039.733016999999</v>
      </c>
      <c r="W22" s="594"/>
      <c r="X22" s="298"/>
      <c r="Y22" s="299"/>
    </row>
    <row r="23" spans="1:27" s="211" customFormat="1" x14ac:dyDescent="0.2">
      <c r="A23" s="72"/>
      <c r="B23" s="287">
        <v>2011</v>
      </c>
      <c r="C23" s="458">
        <f t="shared" si="7"/>
        <v>38806.461244008911</v>
      </c>
      <c r="D23" s="444">
        <f t="shared" si="8"/>
        <v>21557.326716785243</v>
      </c>
      <c r="E23" s="444">
        <f t="shared" si="8"/>
        <v>17247.908127223669</v>
      </c>
      <c r="F23" s="444"/>
      <c r="G23" s="445">
        <f t="shared" ref="G23:G28" si="9">+L23</f>
        <v>1.2264000000000004</v>
      </c>
      <c r="H23" s="446">
        <f>SUM(I23:L23)</f>
        <v>36248.532290235242</v>
      </c>
      <c r="I23" s="449">
        <v>21027.418404235243</v>
      </c>
      <c r="J23" s="448">
        <v>15219.887485999998</v>
      </c>
      <c r="K23" s="448"/>
      <c r="L23" s="449">
        <v>1.2264000000000004</v>
      </c>
      <c r="M23" s="450">
        <f>SUM(N23:O23)</f>
        <v>2557.9289537736718</v>
      </c>
      <c r="N23" s="448">
        <v>529.90831255000001</v>
      </c>
      <c r="O23" s="1247">
        <v>2028.0206412236719</v>
      </c>
      <c r="P23" s="591"/>
      <c r="Q23" s="591"/>
      <c r="R23" s="210">
        <v>2010</v>
      </c>
      <c r="S23" s="595">
        <f t="shared" si="4"/>
        <v>20052.129280199999</v>
      </c>
      <c r="T23" s="595">
        <f t="shared" si="5"/>
        <v>15854.652260999999</v>
      </c>
      <c r="U23" s="210"/>
      <c r="V23" s="210"/>
      <c r="W23" s="594"/>
      <c r="X23" s="298"/>
      <c r="Y23" s="299"/>
      <c r="Z23" s="178"/>
      <c r="AA23" s="178"/>
    </row>
    <row r="24" spans="1:27" s="211" customFormat="1" x14ac:dyDescent="0.2">
      <c r="A24" s="72"/>
      <c r="B24" s="302">
        <v>2012</v>
      </c>
      <c r="C24" s="463">
        <f t="shared" si="7"/>
        <v>41035.983073207899</v>
      </c>
      <c r="D24" s="464">
        <f t="shared" si="8"/>
        <v>22031.93804599997</v>
      </c>
      <c r="E24" s="464">
        <f t="shared" si="8"/>
        <v>18943.135640407931</v>
      </c>
      <c r="F24" s="465">
        <f t="shared" ref="F24:F29" si="10">+K24</f>
        <v>59.682986800000002</v>
      </c>
      <c r="G24" s="465">
        <f t="shared" si="9"/>
        <v>1.2264000000000002</v>
      </c>
      <c r="H24" s="466">
        <f t="shared" si="2"/>
        <v>38361.029340799949</v>
      </c>
      <c r="I24" s="467">
        <v>21490.80766299997</v>
      </c>
      <c r="J24" s="469">
        <v>16809.312290999984</v>
      </c>
      <c r="K24" s="469">
        <v>59.682986800000002</v>
      </c>
      <c r="L24" s="467">
        <v>1.2264000000000002</v>
      </c>
      <c r="M24" s="468">
        <f t="shared" si="3"/>
        <v>2674.9537324079465</v>
      </c>
      <c r="N24" s="469">
        <v>541.13038300000005</v>
      </c>
      <c r="O24" s="1249">
        <v>2133.8233494079464</v>
      </c>
      <c r="P24" s="591"/>
      <c r="Q24" s="591"/>
      <c r="R24" s="210">
        <v>2011</v>
      </c>
      <c r="S24" s="595">
        <f t="shared" si="4"/>
        <v>21557.326716785243</v>
      </c>
      <c r="T24" s="595">
        <f t="shared" si="5"/>
        <v>17247.908127223669</v>
      </c>
      <c r="U24" s="210"/>
      <c r="V24" s="210"/>
      <c r="W24" s="594"/>
      <c r="X24" s="298"/>
      <c r="Y24" s="299"/>
      <c r="Z24" s="178"/>
      <c r="AA24" s="178"/>
    </row>
    <row r="25" spans="1:27" s="211" customFormat="1" x14ac:dyDescent="0.2">
      <c r="A25" s="72"/>
      <c r="B25" s="287">
        <v>2013</v>
      </c>
      <c r="C25" s="458">
        <f t="shared" si="7"/>
        <v>43330.17796048538</v>
      </c>
      <c r="D25" s="444">
        <f t="shared" si="8"/>
        <v>22319.562549983006</v>
      </c>
      <c r="E25" s="444">
        <f t="shared" si="8"/>
        <v>20812.461130502368</v>
      </c>
      <c r="F25" s="445">
        <f t="shared" si="10"/>
        <v>196.92788000000002</v>
      </c>
      <c r="G25" s="445">
        <f t="shared" si="9"/>
        <v>1.2264000000000002</v>
      </c>
      <c r="H25" s="446">
        <f t="shared" si="2"/>
        <v>40664.666419178968</v>
      </c>
      <c r="I25" s="449">
        <v>21709.384683427139</v>
      </c>
      <c r="J25" s="448">
        <v>18757.127455751826</v>
      </c>
      <c r="K25" s="448">
        <v>196.92788000000002</v>
      </c>
      <c r="L25" s="449">
        <v>1.2264000000000002</v>
      </c>
      <c r="M25" s="450">
        <f t="shared" si="3"/>
        <v>2665.5115413064063</v>
      </c>
      <c r="N25" s="448">
        <v>610.17786655586588</v>
      </c>
      <c r="O25" s="1247">
        <v>2055.3336747505405</v>
      </c>
      <c r="P25" s="591"/>
      <c r="Q25" s="591"/>
      <c r="R25" s="210">
        <v>2012</v>
      </c>
      <c r="S25" s="595">
        <f t="shared" si="4"/>
        <v>22031.93804599997</v>
      </c>
      <c r="T25" s="595">
        <f t="shared" si="5"/>
        <v>18943.135640407931</v>
      </c>
      <c r="U25" s="595">
        <f t="shared" ref="U25:U30" si="11">F24</f>
        <v>59.682986800000002</v>
      </c>
      <c r="V25" s="595"/>
      <c r="W25" s="594"/>
      <c r="X25" s="298"/>
      <c r="Y25" s="299"/>
      <c r="Z25" s="178"/>
      <c r="AA25" s="178"/>
    </row>
    <row r="26" spans="1:27" s="211" customFormat="1" x14ac:dyDescent="0.2">
      <c r="A26" s="72"/>
      <c r="B26" s="302">
        <v>2014</v>
      </c>
      <c r="C26" s="463">
        <f t="shared" ref="C26:C31" si="12">SUM(D26:G26)</f>
        <v>45549.819572254804</v>
      </c>
      <c r="D26" s="464">
        <f t="shared" si="8"/>
        <v>22210.659487894649</v>
      </c>
      <c r="E26" s="464">
        <f t="shared" si="8"/>
        <v>22882.315829837717</v>
      </c>
      <c r="F26" s="465">
        <f t="shared" si="10"/>
        <v>199.30359694553749</v>
      </c>
      <c r="G26" s="465">
        <f t="shared" si="9"/>
        <v>257.5406575769008</v>
      </c>
      <c r="H26" s="466">
        <f t="shared" ref="H26:H31" si="13">SUM(I26:L26)</f>
        <v>42846.247729121009</v>
      </c>
      <c r="I26" s="467">
        <v>21610.924675940143</v>
      </c>
      <c r="J26" s="469">
        <v>20778.478798658423</v>
      </c>
      <c r="K26" s="469">
        <v>199.30359694553749</v>
      </c>
      <c r="L26" s="467">
        <v>257.5406575769008</v>
      </c>
      <c r="M26" s="468">
        <f t="shared" ref="M26:M31" si="14">SUM(N26:O26)</f>
        <v>2703.5718431337973</v>
      </c>
      <c r="N26" s="469">
        <v>599.73481195450518</v>
      </c>
      <c r="O26" s="1249">
        <v>2103.8370311792924</v>
      </c>
      <c r="P26" s="591"/>
      <c r="Q26" s="591"/>
      <c r="R26" s="210">
        <v>2013</v>
      </c>
      <c r="S26" s="595">
        <f t="shared" si="4"/>
        <v>22319.562549983006</v>
      </c>
      <c r="T26" s="595">
        <f t="shared" si="5"/>
        <v>20812.461130502368</v>
      </c>
      <c r="U26" s="595">
        <f t="shared" si="11"/>
        <v>196.92788000000002</v>
      </c>
      <c r="V26" s="595"/>
      <c r="W26" s="594"/>
      <c r="X26" s="298"/>
      <c r="Y26" s="299"/>
      <c r="Z26" s="178"/>
      <c r="AA26" s="178"/>
    </row>
    <row r="27" spans="1:27" s="211" customFormat="1" x14ac:dyDescent="0.2">
      <c r="A27" s="72"/>
      <c r="B27" s="287">
        <v>2015</v>
      </c>
      <c r="C27" s="458">
        <f t="shared" si="12"/>
        <v>48270.404057715845</v>
      </c>
      <c r="D27" s="444">
        <f t="shared" ref="D27:E29" si="15">SUM(I27,N27)</f>
        <v>23722.747563457589</v>
      </c>
      <c r="E27" s="444">
        <f t="shared" si="15"/>
        <v>23721.80061976959</v>
      </c>
      <c r="F27" s="445">
        <f t="shared" si="10"/>
        <v>230.25534300000001</v>
      </c>
      <c r="G27" s="445">
        <f t="shared" si="9"/>
        <v>595.60053148867007</v>
      </c>
      <c r="H27" s="446">
        <f t="shared" si="13"/>
        <v>45711.387877385678</v>
      </c>
      <c r="I27" s="449">
        <v>23127.103615596498</v>
      </c>
      <c r="J27" s="448">
        <v>21758.428387300512</v>
      </c>
      <c r="K27" s="448">
        <v>230.25534300000001</v>
      </c>
      <c r="L27" s="449">
        <v>595.60053148867007</v>
      </c>
      <c r="M27" s="450">
        <f t="shared" si="14"/>
        <v>2559.0161803301708</v>
      </c>
      <c r="N27" s="448">
        <v>595.6439478610921</v>
      </c>
      <c r="O27" s="1247">
        <v>1963.3722324690784</v>
      </c>
      <c r="P27" s="591"/>
      <c r="Q27" s="591"/>
      <c r="R27" s="210">
        <v>2014</v>
      </c>
      <c r="S27" s="595">
        <f t="shared" si="4"/>
        <v>22210.659487894649</v>
      </c>
      <c r="T27" s="595">
        <f t="shared" si="5"/>
        <v>22882.315829837717</v>
      </c>
      <c r="U27" s="595">
        <f t="shared" si="11"/>
        <v>199.30359694553749</v>
      </c>
      <c r="V27" s="595">
        <f>G26</f>
        <v>257.5406575769008</v>
      </c>
      <c r="W27" s="594"/>
      <c r="X27" s="298"/>
      <c r="Y27" s="299"/>
      <c r="Z27" s="178"/>
      <c r="AA27" s="178"/>
    </row>
    <row r="28" spans="1:27" s="211" customFormat="1" x14ac:dyDescent="0.2">
      <c r="A28" s="72"/>
      <c r="B28" s="526">
        <v>2016</v>
      </c>
      <c r="C28" s="470">
        <f t="shared" si="12"/>
        <v>51686.827152886239</v>
      </c>
      <c r="D28" s="471">
        <f t="shared" si="15"/>
        <v>24171.687750762609</v>
      </c>
      <c r="E28" s="471">
        <f t="shared" si="15"/>
        <v>26210.301757717174</v>
      </c>
      <c r="F28" s="472">
        <f t="shared" si="10"/>
        <v>241.00855899999999</v>
      </c>
      <c r="G28" s="472">
        <f t="shared" si="9"/>
        <v>1063.8290854064544</v>
      </c>
      <c r="H28" s="473">
        <f t="shared" si="13"/>
        <v>49534.080910786695</v>
      </c>
      <c r="I28" s="474">
        <v>23652.579328757867</v>
      </c>
      <c r="J28" s="475">
        <v>24576.663937622372</v>
      </c>
      <c r="K28" s="475">
        <v>241.00855899999999</v>
      </c>
      <c r="L28" s="474">
        <v>1063.8290854064544</v>
      </c>
      <c r="M28" s="476">
        <f t="shared" si="14"/>
        <v>2152.7462420995416</v>
      </c>
      <c r="N28" s="475">
        <v>519.10842200474076</v>
      </c>
      <c r="O28" s="1250">
        <v>1633.6378200948011</v>
      </c>
      <c r="P28" s="591"/>
      <c r="Q28" s="591"/>
      <c r="R28" s="210">
        <v>2015</v>
      </c>
      <c r="S28" s="595">
        <f t="shared" si="4"/>
        <v>23722.747563457589</v>
      </c>
      <c r="T28" s="595">
        <f t="shared" si="5"/>
        <v>23721.80061976959</v>
      </c>
      <c r="U28" s="595">
        <f t="shared" si="11"/>
        <v>230.25534300000001</v>
      </c>
      <c r="V28" s="595">
        <f>G27</f>
        <v>595.60053148867007</v>
      </c>
      <c r="W28" s="594"/>
      <c r="X28" s="298"/>
      <c r="Y28" s="299"/>
      <c r="Z28" s="178"/>
      <c r="AA28" s="178"/>
    </row>
    <row r="29" spans="1:27" s="211" customFormat="1" x14ac:dyDescent="0.2">
      <c r="A29" s="72"/>
      <c r="B29" s="287">
        <v>2017</v>
      </c>
      <c r="C29" s="458">
        <f t="shared" si="12"/>
        <v>52700.053320272818</v>
      </c>
      <c r="D29" s="444">
        <f t="shared" si="15"/>
        <v>29074.513497615771</v>
      </c>
      <c r="E29" s="444">
        <f t="shared" si="15"/>
        <v>22264.907211657053</v>
      </c>
      <c r="F29" s="445">
        <f t="shared" si="10"/>
        <v>287.20034299999998</v>
      </c>
      <c r="G29" s="445">
        <f>+L29</f>
        <v>1073.432268</v>
      </c>
      <c r="H29" s="446">
        <f t="shared" si="13"/>
        <v>50344.862184776517</v>
      </c>
      <c r="I29" s="449">
        <v>28393.01122177652</v>
      </c>
      <c r="J29" s="448">
        <v>20591.218352000004</v>
      </c>
      <c r="K29" s="448">
        <v>287.20034299999998</v>
      </c>
      <c r="L29" s="449">
        <v>1073.432268</v>
      </c>
      <c r="M29" s="450">
        <f t="shared" si="14"/>
        <v>2355.1911354963013</v>
      </c>
      <c r="N29" s="448">
        <v>681.50227583925141</v>
      </c>
      <c r="O29" s="1247">
        <v>1673.6888596570498</v>
      </c>
      <c r="P29" s="591"/>
      <c r="Q29" s="591"/>
      <c r="R29" s="210">
        <v>2016</v>
      </c>
      <c r="S29" s="595">
        <f t="shared" si="4"/>
        <v>24171.687750762609</v>
      </c>
      <c r="T29" s="595">
        <f t="shared" si="5"/>
        <v>26210.301757717174</v>
      </c>
      <c r="U29" s="595">
        <f t="shared" si="11"/>
        <v>241.00855899999999</v>
      </c>
      <c r="V29" s="595">
        <f>G28</f>
        <v>1063.8290854064544</v>
      </c>
      <c r="W29" s="594"/>
      <c r="X29" s="298"/>
      <c r="Y29" s="299"/>
      <c r="Z29" s="178"/>
      <c r="AA29" s="178"/>
    </row>
    <row r="30" spans="1:27" s="211" customFormat="1" x14ac:dyDescent="0.2">
      <c r="A30" s="72"/>
      <c r="B30" s="1246">
        <v>2018</v>
      </c>
      <c r="C30" s="470">
        <f t="shared" si="12"/>
        <v>54893.157159426482</v>
      </c>
      <c r="D30" s="471">
        <f>SUM(I30,N30)</f>
        <v>30737.457609388162</v>
      </c>
      <c r="E30" s="471">
        <f>SUM(J30,O30)</f>
        <v>21907.860842221646</v>
      </c>
      <c r="F30" s="472">
        <f>+K30</f>
        <v>745.40054000000009</v>
      </c>
      <c r="G30" s="472">
        <f>+L30</f>
        <v>1502.4381678166665</v>
      </c>
      <c r="H30" s="473">
        <f t="shared" si="13"/>
        <v>52362.394586699433</v>
      </c>
      <c r="I30" s="474">
        <v>29989.333366932755</v>
      </c>
      <c r="J30" s="475">
        <v>20125.222511950011</v>
      </c>
      <c r="K30" s="475">
        <v>745.40054000000009</v>
      </c>
      <c r="L30" s="474">
        <v>1502.4381678166665</v>
      </c>
      <c r="M30" s="476">
        <f t="shared" si="14"/>
        <v>2530.7625727270442</v>
      </c>
      <c r="N30" s="475">
        <v>748.12424245540808</v>
      </c>
      <c r="O30" s="1250">
        <v>1782.6383302716361</v>
      </c>
      <c r="P30" s="591"/>
      <c r="Q30" s="591"/>
      <c r="R30" s="210">
        <v>2016</v>
      </c>
      <c r="S30" s="595">
        <f>D29</f>
        <v>29074.513497615771</v>
      </c>
      <c r="T30" s="595">
        <f>E29</f>
        <v>22264.907211657053</v>
      </c>
      <c r="U30" s="595">
        <f t="shared" si="11"/>
        <v>287.20034299999998</v>
      </c>
      <c r="V30" s="595">
        <f>G29</f>
        <v>1073.432268</v>
      </c>
      <c r="W30" s="594"/>
      <c r="X30" s="298"/>
      <c r="Y30" s="299"/>
      <c r="Z30" s="178"/>
      <c r="AA30" s="178"/>
    </row>
    <row r="31" spans="1:27" s="211" customFormat="1" x14ac:dyDescent="0.2">
      <c r="A31" s="72"/>
      <c r="B31" s="1244">
        <v>2019</v>
      </c>
      <c r="C31" s="458">
        <f t="shared" si="12"/>
        <v>56968.504122236824</v>
      </c>
      <c r="D31" s="444">
        <f t="shared" ref="D31" si="16">SUM(I31,N31)</f>
        <v>31462.088372515347</v>
      </c>
      <c r="E31" s="444">
        <f t="shared" ref="E31" si="17">SUM(J31,O31)</f>
        <v>23088.318116721472</v>
      </c>
      <c r="F31" s="445">
        <f t="shared" ref="F31" si="18">+K31</f>
        <v>763.05863999999997</v>
      </c>
      <c r="G31" s="445">
        <f>+L31</f>
        <v>1655.0389929999999</v>
      </c>
      <c r="H31" s="446">
        <f t="shared" si="13"/>
        <v>54448.591958633806</v>
      </c>
      <c r="I31" s="449">
        <v>30769.211305633791</v>
      </c>
      <c r="J31" s="448">
        <v>21261.283020000013</v>
      </c>
      <c r="K31" s="448">
        <v>763.05863999999997</v>
      </c>
      <c r="L31" s="449">
        <v>1655.0389929999999</v>
      </c>
      <c r="M31" s="450">
        <f t="shared" si="14"/>
        <v>2519.9121636030127</v>
      </c>
      <c r="N31" s="448">
        <v>692.87706688155458</v>
      </c>
      <c r="O31" s="1247">
        <v>1827.0350967214581</v>
      </c>
      <c r="P31" s="591"/>
      <c r="Q31" s="591"/>
      <c r="R31" s="210">
        <v>2017</v>
      </c>
      <c r="S31" s="595">
        <f t="shared" ref="S31:V33" si="19">D29</f>
        <v>29074.513497615771</v>
      </c>
      <c r="T31" s="595">
        <f t="shared" si="19"/>
        <v>22264.907211657053</v>
      </c>
      <c r="U31" s="595">
        <f t="shared" si="19"/>
        <v>287.20034299999998</v>
      </c>
      <c r="V31" s="595">
        <f t="shared" si="19"/>
        <v>1073.432268</v>
      </c>
      <c r="W31" s="594"/>
      <c r="X31" s="298"/>
      <c r="Y31" s="299"/>
      <c r="Z31" s="178"/>
      <c r="AA31" s="178"/>
    </row>
    <row r="32" spans="1:27" s="311" customFormat="1" ht="13.5" thickBot="1" x14ac:dyDescent="0.25">
      <c r="A32" s="72"/>
      <c r="B32" s="302"/>
      <c r="C32" s="303"/>
      <c r="D32" s="304"/>
      <c r="E32" s="304"/>
      <c r="F32" s="304"/>
      <c r="G32" s="305"/>
      <c r="H32" s="306"/>
      <c r="I32" s="307"/>
      <c r="J32" s="310"/>
      <c r="K32" s="310"/>
      <c r="L32" s="308"/>
      <c r="M32" s="309"/>
      <c r="N32" s="310"/>
      <c r="O32" s="1251"/>
      <c r="P32" s="593"/>
      <c r="Q32" s="593"/>
      <c r="R32" s="210">
        <v>2018</v>
      </c>
      <c r="S32" s="595">
        <f t="shared" si="19"/>
        <v>30737.457609388162</v>
      </c>
      <c r="T32" s="595">
        <f t="shared" si="19"/>
        <v>21907.860842221646</v>
      </c>
      <c r="U32" s="595">
        <f t="shared" si="19"/>
        <v>745.40054000000009</v>
      </c>
      <c r="V32" s="595">
        <f t="shared" si="19"/>
        <v>1502.4381678166665</v>
      </c>
      <c r="W32" s="594"/>
      <c r="X32" s="298"/>
      <c r="Y32" s="299"/>
      <c r="Z32" s="178"/>
      <c r="AA32" s="178"/>
    </row>
    <row r="33" spans="1:23" ht="12.75" customHeight="1" x14ac:dyDescent="0.2">
      <c r="A33" s="72"/>
      <c r="B33" s="55" t="s">
        <v>356</v>
      </c>
      <c r="C33" s="1072">
        <f>(C31/C30)-1</f>
        <v>3.780702495910182E-2</v>
      </c>
      <c r="D33" s="1072">
        <f t="shared" ref="D33:G33" si="20">(D31/D30)-1</f>
        <v>2.3574843838283455E-2</v>
      </c>
      <c r="E33" s="1072">
        <f t="shared" si="20"/>
        <v>5.3882817816005346E-2</v>
      </c>
      <c r="F33" s="1072">
        <f t="shared" si="20"/>
        <v>2.3689411333133625E-2</v>
      </c>
      <c r="G33" s="1072">
        <f t="shared" si="20"/>
        <v>0.10156878895395205</v>
      </c>
      <c r="H33" s="1072">
        <f>(H31/H30)-1</f>
        <v>3.9841519632570099E-2</v>
      </c>
      <c r="I33" s="1072">
        <f t="shared" ref="I33:L33" si="21">(I31/I30)-1</f>
        <v>2.6005177546259084E-2</v>
      </c>
      <c r="J33" s="1072">
        <f t="shared" si="21"/>
        <v>5.6449587445576377E-2</v>
      </c>
      <c r="K33" s="1072">
        <f t="shared" si="21"/>
        <v>2.3689411333133625E-2</v>
      </c>
      <c r="L33" s="1072">
        <f t="shared" si="21"/>
        <v>0.10156878895395205</v>
      </c>
      <c r="M33" s="1072">
        <f>(M31/M30)-1</f>
        <v>-4.2874069819752725E-3</v>
      </c>
      <c r="N33" s="1072">
        <f>(N31/N30)-1</f>
        <v>-7.3847594341452605E-2</v>
      </c>
      <c r="O33" s="1073">
        <f>(O31/O30)-1</f>
        <v>2.4905089100746958E-2</v>
      </c>
      <c r="R33" s="210">
        <v>2019</v>
      </c>
      <c r="S33" s="595">
        <f t="shared" si="19"/>
        <v>31462.088372515347</v>
      </c>
      <c r="T33" s="595">
        <f t="shared" si="19"/>
        <v>23088.318116721472</v>
      </c>
      <c r="U33" s="595">
        <f t="shared" si="19"/>
        <v>763.05863999999997</v>
      </c>
      <c r="V33" s="595">
        <f t="shared" si="19"/>
        <v>1655.0389929999999</v>
      </c>
    </row>
    <row r="34" spans="1:23" ht="12.75" customHeight="1" x14ac:dyDescent="0.2">
      <c r="A34" s="72"/>
      <c r="B34" s="269" t="s">
        <v>357</v>
      </c>
      <c r="C34" s="1074">
        <f>((C31/C26)^(1/5))-1</f>
        <v>4.5754232483320667E-2</v>
      </c>
      <c r="D34" s="1074">
        <f t="shared" ref="D34:G34" si="22">((D31/D26)^(1/5))-1</f>
        <v>7.212449500077045E-2</v>
      </c>
      <c r="E34" s="1074">
        <f t="shared" si="22"/>
        <v>1.7940879839735135E-3</v>
      </c>
      <c r="F34" s="1074">
        <f t="shared" si="22"/>
        <v>0.30800244405958321</v>
      </c>
      <c r="G34" s="1074">
        <f t="shared" si="22"/>
        <v>0.45074968857430164</v>
      </c>
      <c r="H34" s="1074">
        <f>((H31/H26)^(1/5))-1</f>
        <v>4.9094890327833651E-2</v>
      </c>
      <c r="I34" s="1074">
        <f t="shared" ref="I34:L34" si="23">((I31/I26)^(1/5))-1</f>
        <v>7.3219618354270155E-2</v>
      </c>
      <c r="J34" s="1074">
        <f t="shared" si="23"/>
        <v>4.6045569792045882E-3</v>
      </c>
      <c r="K34" s="1074">
        <f t="shared" si="23"/>
        <v>0.30800244405958321</v>
      </c>
      <c r="L34" s="1074">
        <f t="shared" si="23"/>
        <v>0.45074968857430164</v>
      </c>
      <c r="M34" s="1074">
        <f>((M31/M26)^(1/5))-1</f>
        <v>-1.3971432505284653E-2</v>
      </c>
      <c r="N34" s="1074">
        <f>((N31/N26)^(1/5))-1</f>
        <v>2.9293868600943407E-2</v>
      </c>
      <c r="O34" s="1075">
        <f>((O31/O26)^(1/5))-1</f>
        <v>-2.7819380831255569E-2</v>
      </c>
    </row>
    <row r="35" spans="1:23" s="178" customFormat="1" ht="12.75" customHeight="1" x14ac:dyDescent="0.2">
      <c r="A35" s="72"/>
      <c r="B35" s="270" t="s">
        <v>358</v>
      </c>
      <c r="C35" s="1076">
        <f>(C31/C21)-1</f>
        <v>0.72921417344993045</v>
      </c>
      <c r="D35" s="1076">
        <f t="shared" ref="D35:E35" si="24">(D31/D21)-1</f>
        <v>0.58070949622366674</v>
      </c>
      <c r="E35" s="1076">
        <f t="shared" si="24"/>
        <v>0.77061279449671671</v>
      </c>
      <c r="F35" s="1076" t="s">
        <v>75</v>
      </c>
      <c r="G35" s="1076" t="s">
        <v>75</v>
      </c>
      <c r="H35" s="1076">
        <f>(H31/H21)-1</f>
        <v>0.76084222050423511</v>
      </c>
      <c r="I35" s="1076">
        <f t="shared" ref="I35:J35" si="25">(I31/I21)-1</f>
        <v>0.58447191758809347</v>
      </c>
      <c r="J35" s="1076">
        <f t="shared" si="25"/>
        <v>0.84857337122332077</v>
      </c>
      <c r="K35" s="1076" t="s">
        <v>75</v>
      </c>
      <c r="L35" s="1076" t="s">
        <v>75</v>
      </c>
      <c r="M35" s="1076">
        <f>(M31/M21)-1</f>
        <v>0.24573413438732472</v>
      </c>
      <c r="N35" s="1076">
        <f>(N31/N21)-1</f>
        <v>0.42992511542751277</v>
      </c>
      <c r="O35" s="1077">
        <f>(O31/O21)-1</f>
        <v>0.1877143172714788</v>
      </c>
      <c r="P35" s="210"/>
      <c r="Q35" s="210"/>
      <c r="R35" s="591"/>
      <c r="S35" s="591"/>
      <c r="T35" s="591"/>
      <c r="U35" s="591"/>
      <c r="V35" s="591"/>
      <c r="W35" s="591"/>
    </row>
    <row r="36" spans="1:23" s="178" customFormat="1" ht="12.75" customHeight="1" thickBot="1" x14ac:dyDescent="0.25">
      <c r="A36" s="72"/>
      <c r="B36" s="271" t="s">
        <v>359</v>
      </c>
      <c r="C36" s="1079">
        <f>((C31/C21)^(1/10))-1</f>
        <v>5.6294159928213849E-2</v>
      </c>
      <c r="D36" s="1079">
        <f t="shared" ref="D36:E36" si="26">((D31/D21)^(1/10))-1</f>
        <v>4.6851805084841658E-2</v>
      </c>
      <c r="E36" s="1079">
        <f t="shared" si="26"/>
        <v>5.879616551407163E-2</v>
      </c>
      <c r="F36" s="1079" t="s">
        <v>75</v>
      </c>
      <c r="G36" s="1079" t="s">
        <v>75</v>
      </c>
      <c r="H36" s="1079">
        <f>((H31/H21)^(1/10))-1</f>
        <v>5.8210445976293546E-2</v>
      </c>
      <c r="I36" s="1079">
        <f t="shared" ref="I36:J36" si="27">((I31/I21)^(1/10))-1</f>
        <v>4.7100711366268921E-2</v>
      </c>
      <c r="J36" s="1079">
        <f t="shared" si="27"/>
        <v>6.3368201628370979E-2</v>
      </c>
      <c r="K36" s="1079" t="s">
        <v>75</v>
      </c>
      <c r="L36" s="1079" t="s">
        <v>75</v>
      </c>
      <c r="M36" s="1079">
        <f>((M31/M21)^(1/10))-1</f>
        <v>2.2215675433097326E-2</v>
      </c>
      <c r="N36" s="1079">
        <f>((N31/N21)^(1/10))-1</f>
        <v>3.6409366922773634E-2</v>
      </c>
      <c r="O36" s="1080">
        <f>((O31/O21)^(1/10))-1</f>
        <v>1.7351896865805294E-2</v>
      </c>
      <c r="P36" s="210"/>
      <c r="Q36" s="210"/>
      <c r="R36" s="591"/>
      <c r="S36" s="591"/>
      <c r="T36" s="591"/>
      <c r="U36" s="591"/>
      <c r="V36" s="591"/>
      <c r="W36" s="591"/>
    </row>
    <row r="37" spans="1:23" s="178" customFormat="1" ht="8.25" customHeight="1" x14ac:dyDescent="0.2">
      <c r="A37" s="72"/>
      <c r="B37" s="315"/>
      <c r="C37" s="313"/>
      <c r="D37" s="313"/>
      <c r="E37" s="313"/>
      <c r="F37" s="313"/>
      <c r="G37" s="314"/>
      <c r="H37" s="313"/>
      <c r="I37" s="313"/>
      <c r="J37" s="313"/>
      <c r="K37" s="313"/>
      <c r="L37" s="314"/>
      <c r="M37" s="313"/>
      <c r="N37" s="313"/>
      <c r="O37" s="313"/>
      <c r="P37" s="210"/>
      <c r="Q37" s="210"/>
      <c r="R37" s="591"/>
      <c r="S37" s="591"/>
      <c r="T37" s="591"/>
      <c r="U37" s="591"/>
      <c r="V37" s="591"/>
      <c r="W37" s="591"/>
    </row>
    <row r="38" spans="1:23" s="178" customFormat="1" x14ac:dyDescent="0.2">
      <c r="A38" s="72"/>
      <c r="B38" s="71"/>
      <c r="C38" s="378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210"/>
      <c r="Q38" s="210"/>
      <c r="R38" s="591"/>
      <c r="S38" s="591"/>
      <c r="T38" s="591"/>
      <c r="U38" s="591"/>
      <c r="V38" s="591"/>
      <c r="W38" s="591"/>
    </row>
    <row r="39" spans="1:23" s="178" customFormat="1" x14ac:dyDescent="0.2">
      <c r="A39" s="72"/>
      <c r="B39" s="379"/>
      <c r="C39" s="378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210"/>
      <c r="Q39" s="210"/>
      <c r="R39" s="591"/>
      <c r="S39" s="591"/>
      <c r="T39" s="591"/>
      <c r="U39" s="591"/>
      <c r="V39" s="591"/>
      <c r="W39" s="591"/>
    </row>
    <row r="40" spans="1:23" s="178" customFormat="1" x14ac:dyDescent="0.2">
      <c r="A40" s="72"/>
      <c r="B40" s="380"/>
      <c r="C40" s="378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210"/>
      <c r="Q40" s="210"/>
      <c r="R40" s="591"/>
      <c r="S40" s="591"/>
      <c r="T40" s="591"/>
      <c r="U40" s="591"/>
      <c r="V40" s="591"/>
      <c r="W40" s="591"/>
    </row>
    <row r="41" spans="1:23" s="178" customFormat="1" x14ac:dyDescent="0.2">
      <c r="A41" s="72"/>
      <c r="B41" s="379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210"/>
      <c r="Q41" s="210"/>
      <c r="R41" s="591"/>
      <c r="S41" s="591"/>
      <c r="T41" s="591"/>
      <c r="U41" s="591"/>
      <c r="V41" s="591"/>
      <c r="W41" s="591"/>
    </row>
    <row r="42" spans="1:23" s="178" customForma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210"/>
      <c r="Q42" s="210"/>
      <c r="R42" s="591"/>
      <c r="S42" s="591"/>
      <c r="T42" s="591"/>
      <c r="U42" s="591"/>
      <c r="V42" s="591"/>
      <c r="W42" s="591"/>
    </row>
    <row r="43" spans="1:23" s="178" customForma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210"/>
      <c r="Q43" s="210"/>
      <c r="R43" s="591"/>
      <c r="S43" s="591"/>
      <c r="T43" s="591"/>
      <c r="U43" s="591"/>
      <c r="V43" s="591"/>
      <c r="W43" s="591"/>
    </row>
    <row r="44" spans="1:23" s="178" customForma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210"/>
      <c r="Q44" s="210"/>
      <c r="R44" s="591"/>
      <c r="S44" s="591"/>
      <c r="T44" s="591"/>
      <c r="U44" s="591"/>
      <c r="V44" s="591"/>
      <c r="W44" s="591"/>
    </row>
    <row r="45" spans="1:23" s="178" customForma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210"/>
      <c r="Q45" s="210"/>
      <c r="R45" s="591"/>
      <c r="S45" s="591"/>
      <c r="T45" s="591"/>
      <c r="U45" s="591"/>
      <c r="V45" s="591"/>
      <c r="W45" s="591"/>
    </row>
    <row r="46" spans="1:23" s="178" customForma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210"/>
      <c r="Q46" s="210"/>
      <c r="R46" s="591"/>
      <c r="S46" s="591"/>
      <c r="T46" s="591"/>
      <c r="U46" s="591"/>
      <c r="V46" s="591"/>
      <c r="W46" s="591"/>
    </row>
    <row r="47" spans="1:23" s="178" customForma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210"/>
      <c r="Q47" s="210"/>
      <c r="R47" s="591"/>
      <c r="S47" s="591"/>
      <c r="T47" s="591"/>
      <c r="U47" s="591"/>
      <c r="V47" s="591"/>
      <c r="W47" s="591"/>
    </row>
    <row r="48" spans="1:23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</row>
    <row r="49" spans="1:27" s="178" customFormat="1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210"/>
      <c r="Q49" s="210"/>
      <c r="R49" s="210"/>
      <c r="S49" s="210" t="s">
        <v>242</v>
      </c>
      <c r="T49" s="210"/>
      <c r="U49" s="210"/>
      <c r="V49" s="210"/>
      <c r="W49" s="1274"/>
      <c r="X49" s="1274"/>
      <c r="Y49" s="1274"/>
      <c r="Z49" s="1274"/>
    </row>
    <row r="50" spans="1:27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S50" s="210" t="s">
        <v>4</v>
      </c>
      <c r="T50" s="210" t="s">
        <v>5</v>
      </c>
      <c r="U50" s="210" t="s">
        <v>58</v>
      </c>
      <c r="V50" s="210" t="s">
        <v>6</v>
      </c>
      <c r="X50" s="73"/>
      <c r="Y50" s="73"/>
      <c r="Z50" s="73"/>
      <c r="AA50" s="73"/>
    </row>
    <row r="51" spans="1:27" s="178" customFormat="1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210"/>
      <c r="Q51" s="210"/>
      <c r="R51" s="210">
        <v>1995</v>
      </c>
      <c r="S51" s="595">
        <f t="shared" ref="S51:S73" si="28">I7</f>
        <v>11540.590328999999</v>
      </c>
      <c r="T51" s="595">
        <f t="shared" ref="T51:T73" si="29">J7</f>
        <v>1565.7227680000001</v>
      </c>
      <c r="U51" s="210"/>
      <c r="V51" s="210"/>
      <c r="W51" s="591"/>
    </row>
    <row r="52" spans="1:27" s="178" customFormat="1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210"/>
      <c r="Q52" s="210"/>
      <c r="R52" s="210">
        <v>1996</v>
      </c>
      <c r="S52" s="595">
        <f t="shared" si="28"/>
        <v>11847.925377</v>
      </c>
      <c r="T52" s="595">
        <f t="shared" si="29"/>
        <v>1459.2416440000002</v>
      </c>
      <c r="U52" s="210"/>
      <c r="V52" s="210"/>
      <c r="W52" s="592"/>
    </row>
    <row r="53" spans="1:27" s="178" customForma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210"/>
      <c r="Q53" s="210"/>
      <c r="R53" s="210">
        <v>1997</v>
      </c>
      <c r="S53" s="595">
        <f t="shared" si="28"/>
        <v>12264.791790000001</v>
      </c>
      <c r="T53" s="595">
        <f t="shared" si="29"/>
        <v>3083.2094300000008</v>
      </c>
      <c r="U53" s="210"/>
      <c r="V53" s="210"/>
      <c r="W53" s="592"/>
    </row>
    <row r="54" spans="1:27" s="178" customFormat="1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210"/>
      <c r="Q54" s="210"/>
      <c r="R54" s="210">
        <v>1998</v>
      </c>
      <c r="S54" s="595">
        <f t="shared" si="28"/>
        <v>13367.193777000002</v>
      </c>
      <c r="T54" s="595">
        <f t="shared" si="29"/>
        <v>3448.2166299999999</v>
      </c>
      <c r="U54" s="210"/>
      <c r="V54" s="210"/>
      <c r="W54" s="592"/>
    </row>
    <row r="55" spans="1:27" s="178" customFormat="1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210"/>
      <c r="Q55" s="210"/>
      <c r="R55" s="210">
        <v>1999</v>
      </c>
      <c r="S55" s="595">
        <f t="shared" si="28"/>
        <v>14110.592026</v>
      </c>
      <c r="T55" s="595">
        <f t="shared" si="29"/>
        <v>3255.0052719999999</v>
      </c>
      <c r="U55" s="210"/>
      <c r="V55" s="210"/>
      <c r="W55" s="591"/>
    </row>
    <row r="56" spans="1:27" s="178" customForma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210"/>
      <c r="Q56" s="210"/>
      <c r="R56" s="210">
        <v>2000</v>
      </c>
      <c r="S56" s="595">
        <f t="shared" si="28"/>
        <v>15747.323264999999</v>
      </c>
      <c r="T56" s="595">
        <f t="shared" si="29"/>
        <v>2579.7287539999998</v>
      </c>
      <c r="U56" s="210"/>
      <c r="V56" s="210"/>
      <c r="W56" s="591"/>
    </row>
    <row r="57" spans="1:27" s="178" customFormat="1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210"/>
      <c r="Q57" s="210"/>
      <c r="R57" s="210">
        <v>2001</v>
      </c>
      <c r="S57" s="595">
        <f t="shared" si="28"/>
        <v>17188.330773999998</v>
      </c>
      <c r="T57" s="595">
        <f t="shared" si="29"/>
        <v>2024.9494680000003</v>
      </c>
      <c r="U57" s="210"/>
      <c r="V57" s="210"/>
      <c r="W57" s="591"/>
    </row>
    <row r="58" spans="1:27" s="178" customForma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210"/>
      <c r="Q58" s="210"/>
      <c r="R58" s="210">
        <v>2002</v>
      </c>
      <c r="S58" s="595">
        <f t="shared" si="28"/>
        <v>17638.158238000004</v>
      </c>
      <c r="T58" s="595">
        <f t="shared" si="29"/>
        <v>2780.1240350000003</v>
      </c>
      <c r="U58" s="210"/>
      <c r="V58" s="210"/>
      <c r="W58" s="591"/>
    </row>
    <row r="59" spans="1:27" s="178" customFormat="1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210"/>
      <c r="Q59" s="210"/>
      <c r="R59" s="210">
        <v>2003</v>
      </c>
      <c r="S59" s="595">
        <f t="shared" si="28"/>
        <v>18118.333137999995</v>
      </c>
      <c r="T59" s="595">
        <f t="shared" si="29"/>
        <v>3241.9033919999997</v>
      </c>
      <c r="U59" s="210"/>
      <c r="V59" s="210"/>
      <c r="W59" s="591"/>
    </row>
    <row r="60" spans="1:27" s="178" customForma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210"/>
      <c r="Q60" s="210"/>
      <c r="R60" s="210">
        <v>2004</v>
      </c>
      <c r="S60" s="595">
        <f t="shared" si="28"/>
        <v>17100.664633000004</v>
      </c>
      <c r="T60" s="595">
        <f t="shared" si="29"/>
        <v>5518.0477580000006</v>
      </c>
      <c r="U60" s="210"/>
      <c r="V60" s="210"/>
      <c r="W60" s="591"/>
    </row>
    <row r="61" spans="1:27" s="178" customForma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210"/>
      <c r="Q61" s="210"/>
      <c r="R61" s="210">
        <v>2005</v>
      </c>
      <c r="S61" s="595">
        <f t="shared" si="28"/>
        <v>17567.105377792748</v>
      </c>
      <c r="T61" s="595">
        <f t="shared" si="29"/>
        <v>6242.5431669999998</v>
      </c>
      <c r="U61" s="210"/>
      <c r="V61" s="210"/>
      <c r="W61" s="591"/>
    </row>
    <row r="62" spans="1:27" s="178" customFormat="1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210"/>
      <c r="Q62" s="210"/>
      <c r="R62" s="210">
        <v>2006</v>
      </c>
      <c r="S62" s="595">
        <f t="shared" si="28"/>
        <v>19160.751642958581</v>
      </c>
      <c r="T62" s="595">
        <f t="shared" si="29"/>
        <v>6451.7857470000008</v>
      </c>
      <c r="U62" s="210"/>
      <c r="V62" s="210"/>
      <c r="W62" s="591"/>
    </row>
    <row r="63" spans="1:27" s="178" customFormat="1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210"/>
      <c r="Q63" s="210"/>
      <c r="R63" s="585">
        <v>2007</v>
      </c>
      <c r="S63" s="595">
        <f t="shared" si="28"/>
        <v>19107.193966340001</v>
      </c>
      <c r="T63" s="595">
        <f t="shared" si="29"/>
        <v>9092.0707240000011</v>
      </c>
      <c r="U63" s="210"/>
      <c r="V63" s="210"/>
      <c r="W63" s="591"/>
    </row>
    <row r="64" spans="1:27" s="178" customFormat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210"/>
      <c r="Q64" s="210"/>
      <c r="R64" s="210">
        <v>2008</v>
      </c>
      <c r="S64" s="595">
        <f t="shared" si="28"/>
        <v>18607.792106999997</v>
      </c>
      <c r="T64" s="595">
        <f t="shared" si="29"/>
        <v>11965.692749000002</v>
      </c>
      <c r="U64" s="210"/>
      <c r="V64" s="210"/>
      <c r="W64" s="591"/>
    </row>
    <row r="65" spans="1:23" s="178" customForma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210"/>
      <c r="Q65" s="210"/>
      <c r="R65" s="210">
        <v>2009</v>
      </c>
      <c r="S65" s="595">
        <f t="shared" si="28"/>
        <v>19419.221612000001</v>
      </c>
      <c r="T65" s="595">
        <f t="shared" si="29"/>
        <v>11501.454770999999</v>
      </c>
      <c r="U65" s="210"/>
      <c r="V65" s="210"/>
      <c r="W65" s="591"/>
    </row>
    <row r="66" spans="1:23" s="178" customForma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210"/>
      <c r="Q66" s="210"/>
      <c r="R66" s="210">
        <v>2010</v>
      </c>
      <c r="S66" s="595">
        <f t="shared" si="28"/>
        <v>19567.404609199999</v>
      </c>
      <c r="T66" s="595">
        <f t="shared" si="29"/>
        <v>13977.184797999998</v>
      </c>
      <c r="U66" s="210"/>
      <c r="V66" s="210"/>
      <c r="W66" s="591"/>
    </row>
    <row r="67" spans="1:23" s="178" customForma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210"/>
      <c r="Q67" s="210"/>
      <c r="R67" s="210">
        <v>2011</v>
      </c>
      <c r="S67" s="595">
        <f t="shared" si="28"/>
        <v>21027.418404235243</v>
      </c>
      <c r="T67" s="595">
        <f t="shared" si="29"/>
        <v>15219.887485999998</v>
      </c>
      <c r="U67" s="210"/>
      <c r="V67" s="210"/>
      <c r="W67" s="591"/>
    </row>
    <row r="68" spans="1:23" s="178" customForma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210"/>
      <c r="Q68" s="210"/>
      <c r="R68" s="210">
        <v>2012</v>
      </c>
      <c r="S68" s="595">
        <f t="shared" si="28"/>
        <v>21490.80766299997</v>
      </c>
      <c r="T68" s="595">
        <f t="shared" si="29"/>
        <v>16809.312290999984</v>
      </c>
      <c r="U68" s="595">
        <f t="shared" ref="U68:U73" si="30">K24</f>
        <v>59.682986800000002</v>
      </c>
      <c r="V68" s="210"/>
      <c r="W68" s="591"/>
    </row>
    <row r="69" spans="1:23" s="178" customForma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210"/>
      <c r="Q69" s="210"/>
      <c r="R69" s="210">
        <v>2013</v>
      </c>
      <c r="S69" s="595">
        <f t="shared" si="28"/>
        <v>21709.384683427139</v>
      </c>
      <c r="T69" s="595">
        <f t="shared" si="29"/>
        <v>18757.127455751826</v>
      </c>
      <c r="U69" s="595">
        <f t="shared" si="30"/>
        <v>196.92788000000002</v>
      </c>
      <c r="V69" s="210"/>
      <c r="W69" s="591"/>
    </row>
    <row r="70" spans="1:23" s="178" customForma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210"/>
      <c r="Q70" s="210"/>
      <c r="R70" s="210">
        <v>2014</v>
      </c>
      <c r="S70" s="595">
        <f t="shared" si="28"/>
        <v>21610.924675940143</v>
      </c>
      <c r="T70" s="595">
        <f t="shared" si="29"/>
        <v>20778.478798658423</v>
      </c>
      <c r="U70" s="595">
        <f t="shared" si="30"/>
        <v>199.30359694553749</v>
      </c>
      <c r="V70" s="595">
        <f t="shared" ref="V70:V75" si="31">L26</f>
        <v>257.5406575769008</v>
      </c>
      <c r="W70" s="591"/>
    </row>
    <row r="71" spans="1:23" s="178" customFormat="1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210"/>
      <c r="Q71" s="210"/>
      <c r="R71" s="210">
        <v>2015</v>
      </c>
      <c r="S71" s="595">
        <f t="shared" si="28"/>
        <v>23127.103615596498</v>
      </c>
      <c r="T71" s="595">
        <f t="shared" si="29"/>
        <v>21758.428387300512</v>
      </c>
      <c r="U71" s="595">
        <f t="shared" si="30"/>
        <v>230.25534300000001</v>
      </c>
      <c r="V71" s="595">
        <f t="shared" si="31"/>
        <v>595.60053148867007</v>
      </c>
      <c r="W71" s="591"/>
    </row>
    <row r="72" spans="1:23" s="178" customForma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210"/>
      <c r="Q72" s="210"/>
      <c r="R72" s="210">
        <v>2016</v>
      </c>
      <c r="S72" s="595">
        <f t="shared" si="28"/>
        <v>23652.579328757867</v>
      </c>
      <c r="T72" s="595">
        <f t="shared" si="29"/>
        <v>24576.663937622372</v>
      </c>
      <c r="U72" s="595">
        <f t="shared" si="30"/>
        <v>241.00855899999999</v>
      </c>
      <c r="V72" s="595">
        <f t="shared" si="31"/>
        <v>1063.8290854064544</v>
      </c>
      <c r="W72" s="591"/>
    </row>
    <row r="73" spans="1:23" s="178" customFormat="1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210"/>
      <c r="Q73" s="210"/>
      <c r="R73" s="210">
        <v>2017</v>
      </c>
      <c r="S73" s="595">
        <f t="shared" si="28"/>
        <v>28393.01122177652</v>
      </c>
      <c r="T73" s="595">
        <f t="shared" si="29"/>
        <v>20591.218352000004</v>
      </c>
      <c r="U73" s="595">
        <f t="shared" si="30"/>
        <v>287.20034299999998</v>
      </c>
      <c r="V73" s="595">
        <f t="shared" si="31"/>
        <v>1073.432268</v>
      </c>
      <c r="W73" s="591"/>
    </row>
    <row r="74" spans="1:23" s="178" customFormat="1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210"/>
      <c r="Q74" s="210"/>
      <c r="R74" s="210">
        <v>2018</v>
      </c>
      <c r="S74" s="595">
        <f t="shared" ref="S74:U75" si="32">I30</f>
        <v>29989.333366932755</v>
      </c>
      <c r="T74" s="595">
        <f t="shared" si="32"/>
        <v>20125.222511950011</v>
      </c>
      <c r="U74" s="595">
        <f t="shared" si="32"/>
        <v>745.40054000000009</v>
      </c>
      <c r="V74" s="595">
        <f t="shared" si="31"/>
        <v>1502.4381678166665</v>
      </c>
      <c r="W74" s="591"/>
    </row>
    <row r="75" spans="1:23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R75" s="210">
        <v>2019</v>
      </c>
      <c r="S75" s="595">
        <f t="shared" si="32"/>
        <v>30769.211305633791</v>
      </c>
      <c r="T75" s="595">
        <f t="shared" si="32"/>
        <v>21261.283020000013</v>
      </c>
      <c r="U75" s="595">
        <f t="shared" si="32"/>
        <v>763.05863999999997</v>
      </c>
      <c r="V75" s="595">
        <f t="shared" si="31"/>
        <v>1655.0389929999999</v>
      </c>
    </row>
    <row r="76" spans="1:23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1:23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</row>
    <row r="78" spans="1:23" s="178" customForma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210"/>
      <c r="Q78" s="210"/>
      <c r="R78" s="210"/>
      <c r="S78" s="210" t="s">
        <v>47</v>
      </c>
      <c r="T78" s="210"/>
      <c r="U78" s="210"/>
      <c r="V78" s="210"/>
      <c r="W78" s="591"/>
    </row>
    <row r="79" spans="1:23" s="178" customFormat="1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210"/>
      <c r="Q79" s="210"/>
      <c r="R79" s="210"/>
      <c r="S79" s="210" t="s">
        <v>4</v>
      </c>
      <c r="T79" s="210" t="s">
        <v>5</v>
      </c>
      <c r="U79" s="210"/>
      <c r="V79" s="210"/>
      <c r="W79" s="591"/>
    </row>
    <row r="80" spans="1:23" s="178" customFormat="1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210"/>
      <c r="Q80" s="210"/>
      <c r="R80" s="210">
        <v>1995</v>
      </c>
      <c r="S80" s="595">
        <f t="shared" ref="S80:T98" si="33">N7</f>
        <v>1396.9631319999999</v>
      </c>
      <c r="T80" s="595">
        <f t="shared" si="33"/>
        <v>2376.8383720000002</v>
      </c>
      <c r="U80" s="210"/>
      <c r="V80" s="210"/>
      <c r="W80" s="591"/>
    </row>
    <row r="81" spans="1:23" s="178" customFormat="1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210"/>
      <c r="Q81" s="210"/>
      <c r="R81" s="210">
        <v>1996</v>
      </c>
      <c r="S81" s="595">
        <f t="shared" si="33"/>
        <v>1475.6467010000001</v>
      </c>
      <c r="T81" s="595">
        <f t="shared" si="33"/>
        <v>2496.5885710000002</v>
      </c>
      <c r="U81" s="210"/>
      <c r="V81" s="210"/>
      <c r="W81" s="591"/>
    </row>
    <row r="82" spans="1:23" s="178" customFormat="1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210"/>
      <c r="Q82" s="210"/>
      <c r="R82" s="210">
        <v>1997</v>
      </c>
      <c r="S82" s="595">
        <f t="shared" si="33"/>
        <v>949.73769199999992</v>
      </c>
      <c r="T82" s="595">
        <f t="shared" si="33"/>
        <v>1655.1130069999999</v>
      </c>
      <c r="U82" s="210"/>
      <c r="V82" s="210"/>
      <c r="W82" s="591"/>
    </row>
    <row r="83" spans="1:23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R83" s="210">
        <v>1998</v>
      </c>
      <c r="S83" s="595">
        <f t="shared" si="33"/>
        <v>441.09136100000001</v>
      </c>
      <c r="T83" s="595">
        <f t="shared" si="33"/>
        <v>1325.5106380000002</v>
      </c>
    </row>
    <row r="84" spans="1:23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R84" s="210">
        <v>1999</v>
      </c>
      <c r="S84" s="595">
        <f t="shared" si="33"/>
        <v>429.98925900000006</v>
      </c>
      <c r="T84" s="595">
        <f t="shared" si="33"/>
        <v>1253.40626</v>
      </c>
    </row>
    <row r="85" spans="1:23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R85" s="210">
        <v>2000</v>
      </c>
      <c r="S85" s="595">
        <f t="shared" si="33"/>
        <v>428.72810099999998</v>
      </c>
      <c r="T85" s="595">
        <f t="shared" si="33"/>
        <v>1166.0715179999995</v>
      </c>
    </row>
    <row r="86" spans="1:23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R86" s="210">
        <v>2001</v>
      </c>
      <c r="S86" s="595">
        <f t="shared" si="33"/>
        <v>426.42942600000003</v>
      </c>
      <c r="T86" s="595">
        <f t="shared" si="33"/>
        <v>1144.7894669999996</v>
      </c>
    </row>
    <row r="87" spans="1:23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R87" s="210">
        <v>2002</v>
      </c>
      <c r="S87" s="595">
        <f t="shared" si="33"/>
        <v>401.9696770000001</v>
      </c>
      <c r="T87" s="595">
        <f t="shared" si="33"/>
        <v>1160.8448220000034</v>
      </c>
    </row>
    <row r="88" spans="1:23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R88" s="210">
        <v>2003</v>
      </c>
      <c r="S88" s="595">
        <f t="shared" si="33"/>
        <v>415.38772300000005</v>
      </c>
      <c r="T88" s="595">
        <f t="shared" si="33"/>
        <v>1146.5032210000034</v>
      </c>
    </row>
    <row r="89" spans="1:23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R89" s="210">
        <v>2004</v>
      </c>
      <c r="S89" s="595">
        <f t="shared" si="33"/>
        <v>424.674328</v>
      </c>
      <c r="T89" s="595">
        <f t="shared" si="33"/>
        <v>1222.3989520000002</v>
      </c>
    </row>
    <row r="90" spans="1:23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R90" s="210">
        <v>2005</v>
      </c>
      <c r="S90" s="595">
        <f t="shared" si="33"/>
        <v>409.88795820724977</v>
      </c>
      <c r="T90" s="595">
        <f t="shared" si="33"/>
        <v>1288.9739120000033</v>
      </c>
    </row>
    <row r="91" spans="1:23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R91" s="210">
        <v>2006</v>
      </c>
      <c r="S91" s="595">
        <f t="shared" si="33"/>
        <v>433.59552104141386</v>
      </c>
      <c r="T91" s="595">
        <f t="shared" si="33"/>
        <v>1322.4694165800001</v>
      </c>
    </row>
    <row r="92" spans="1:23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R92" s="585">
        <v>2007</v>
      </c>
      <c r="S92" s="595">
        <f t="shared" si="33"/>
        <v>441.58805366000001</v>
      </c>
      <c r="T92" s="595">
        <f t="shared" si="33"/>
        <v>1300.9679980000003</v>
      </c>
    </row>
    <row r="93" spans="1:23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R93" s="210">
        <v>2008</v>
      </c>
      <c r="S93" s="595">
        <f t="shared" si="33"/>
        <v>451.82564200000002</v>
      </c>
      <c r="T93" s="595">
        <f t="shared" si="33"/>
        <v>1436.5693849999998</v>
      </c>
    </row>
    <row r="94" spans="1:23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R94" s="210">
        <v>2009</v>
      </c>
      <c r="S94" s="595">
        <f t="shared" si="33"/>
        <v>484.55479200000008</v>
      </c>
      <c r="T94" s="595">
        <f t="shared" si="33"/>
        <v>1538.2782460000001</v>
      </c>
    </row>
    <row r="95" spans="1:23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R95" s="210">
        <v>2010</v>
      </c>
      <c r="S95" s="595">
        <f t="shared" si="33"/>
        <v>484.72467099999994</v>
      </c>
      <c r="T95" s="595">
        <f t="shared" si="33"/>
        <v>1877.467463</v>
      </c>
    </row>
    <row r="96" spans="1:23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R96" s="210">
        <v>2011</v>
      </c>
      <c r="S96" s="595">
        <f t="shared" si="33"/>
        <v>529.90831255000001</v>
      </c>
      <c r="T96" s="595">
        <f t="shared" si="33"/>
        <v>2028.0206412236719</v>
      </c>
    </row>
    <row r="97" spans="1:20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R97" s="210">
        <v>2012</v>
      </c>
      <c r="S97" s="595">
        <f t="shared" si="33"/>
        <v>541.13038300000005</v>
      </c>
      <c r="T97" s="595">
        <f t="shared" si="33"/>
        <v>2133.8233494079464</v>
      </c>
    </row>
    <row r="98" spans="1:20" x14ac:dyDescent="0.2">
      <c r="R98" s="210">
        <v>2013</v>
      </c>
      <c r="S98" s="595">
        <f t="shared" si="33"/>
        <v>610.17786655586588</v>
      </c>
      <c r="T98" s="595">
        <f t="shared" si="33"/>
        <v>2055.3336747505405</v>
      </c>
    </row>
    <row r="99" spans="1:20" x14ac:dyDescent="0.2">
      <c r="R99" s="210">
        <v>2014</v>
      </c>
      <c r="S99" s="595">
        <f t="shared" ref="S99:T101" si="34">N26</f>
        <v>599.73481195450518</v>
      </c>
      <c r="T99" s="595">
        <f t="shared" si="34"/>
        <v>2103.8370311792924</v>
      </c>
    </row>
    <row r="100" spans="1:20" x14ac:dyDescent="0.2">
      <c r="R100" s="210">
        <v>2015</v>
      </c>
      <c r="S100" s="595">
        <f t="shared" si="34"/>
        <v>595.6439478610921</v>
      </c>
      <c r="T100" s="595">
        <f t="shared" si="34"/>
        <v>1963.3722324690784</v>
      </c>
    </row>
    <row r="101" spans="1:20" x14ac:dyDescent="0.2">
      <c r="R101" s="210">
        <v>2016</v>
      </c>
      <c r="S101" s="595">
        <f t="shared" si="34"/>
        <v>519.10842200474076</v>
      </c>
      <c r="T101" s="595">
        <f t="shared" si="34"/>
        <v>1633.6378200948011</v>
      </c>
    </row>
    <row r="102" spans="1:20" x14ac:dyDescent="0.2">
      <c r="R102" s="210">
        <v>2017</v>
      </c>
      <c r="S102" s="595">
        <f t="shared" ref="S102:T104" si="35">N29</f>
        <v>681.50227583925141</v>
      </c>
      <c r="T102" s="595">
        <f t="shared" si="35"/>
        <v>1673.6888596570498</v>
      </c>
    </row>
    <row r="103" spans="1:20" x14ac:dyDescent="0.2">
      <c r="R103" s="210">
        <v>2018</v>
      </c>
      <c r="S103" s="595">
        <f t="shared" si="35"/>
        <v>748.12424245540808</v>
      </c>
      <c r="T103" s="595">
        <f t="shared" si="35"/>
        <v>1782.6383302716361</v>
      </c>
    </row>
    <row r="104" spans="1:20" x14ac:dyDescent="0.2">
      <c r="R104" s="210">
        <v>2019</v>
      </c>
      <c r="S104" s="595">
        <f t="shared" si="35"/>
        <v>692.87706688155458</v>
      </c>
      <c r="T104" s="595">
        <f t="shared" si="35"/>
        <v>1827.0350967214581</v>
      </c>
    </row>
  </sheetData>
  <mergeCells count="3">
    <mergeCell ref="W49:Z49"/>
    <mergeCell ref="B4:B5"/>
    <mergeCell ref="C4:C5"/>
  </mergeCells>
  <printOptions horizontalCentered="1" verticalCentered="1"/>
  <pageMargins left="0.39370078740157483" right="0.19685039370078741" top="0.51181102362204722" bottom="0.27559055118110237" header="0" footer="0"/>
  <pageSetup paperSize="9" scale="65" orientation="portrait" r:id="rId1"/>
  <headerFooter alignWithMargins="0"/>
  <ignoredErrors>
    <ignoredError sqref="C7:C26 G9 D7:H8 D10:H26 D9:F9 H9 C27:I29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view="pageBreakPreview" zoomScale="90" zoomScaleNormal="75" zoomScaleSheetLayoutView="90" workbookViewId="0">
      <selection activeCell="L54" sqref="L54"/>
    </sheetView>
  </sheetViews>
  <sheetFormatPr baseColWidth="10" defaultColWidth="11.42578125" defaultRowHeight="12.75" x14ac:dyDescent="0.2"/>
  <cols>
    <col min="1" max="1" width="2.42578125" style="73" customWidth="1"/>
    <col min="2" max="2" width="24" style="73" customWidth="1"/>
    <col min="3" max="3" width="18.140625" style="73" customWidth="1"/>
    <col min="4" max="8" width="17" style="73" customWidth="1"/>
    <col min="9" max="11" width="11.42578125" style="73"/>
    <col min="12" max="21" width="11.42578125" style="210"/>
    <col min="22" max="16384" width="11.42578125" style="73"/>
  </cols>
  <sheetData>
    <row r="2" spans="1:20" ht="18" x14ac:dyDescent="0.25">
      <c r="A2" s="6" t="s">
        <v>218</v>
      </c>
      <c r="B2"/>
      <c r="C2" s="208"/>
      <c r="D2" s="208"/>
      <c r="E2" s="208"/>
      <c r="F2" s="208"/>
      <c r="G2" s="208"/>
      <c r="H2" s="208"/>
    </row>
    <row r="3" spans="1:20" x14ac:dyDescent="0.2">
      <c r="B3" s="235"/>
    </row>
    <row r="4" spans="1:20" ht="13.5" thickBot="1" x14ac:dyDescent="0.25"/>
    <row r="5" spans="1:20" x14ac:dyDescent="0.2">
      <c r="B5" s="1394" t="s">
        <v>18</v>
      </c>
      <c r="C5" s="1395" t="s">
        <v>219</v>
      </c>
      <c r="D5" s="1396"/>
      <c r="E5" s="1396"/>
      <c r="F5" s="1396"/>
      <c r="G5" s="1396"/>
      <c r="H5" s="1397"/>
    </row>
    <row r="6" spans="1:20" x14ac:dyDescent="0.2">
      <c r="B6" s="1398"/>
      <c r="C6" s="1399" t="s">
        <v>220</v>
      </c>
      <c r="D6" s="1400"/>
      <c r="E6" s="1400"/>
      <c r="F6" s="1400"/>
      <c r="G6" s="1400"/>
      <c r="H6" s="1401"/>
      <c r="O6" s="600" t="s">
        <v>220</v>
      </c>
      <c r="P6" s="600"/>
      <c r="Q6" s="601"/>
      <c r="R6" s="601"/>
      <c r="S6" s="601"/>
      <c r="T6" s="601"/>
    </row>
    <row r="7" spans="1:20" x14ac:dyDescent="0.2">
      <c r="B7" s="1402"/>
      <c r="C7" s="1403" t="s">
        <v>0</v>
      </c>
      <c r="D7" s="1404">
        <v>500</v>
      </c>
      <c r="E7" s="1404">
        <v>220</v>
      </c>
      <c r="F7" s="1404">
        <v>138</v>
      </c>
      <c r="G7" s="1404" t="s">
        <v>222</v>
      </c>
      <c r="H7" s="1405" t="s">
        <v>221</v>
      </c>
      <c r="O7" s="596" t="s">
        <v>0</v>
      </c>
      <c r="P7" s="597">
        <v>500</v>
      </c>
      <c r="Q7" s="597">
        <v>220</v>
      </c>
      <c r="R7" s="597">
        <v>138</v>
      </c>
      <c r="S7" s="597" t="s">
        <v>222</v>
      </c>
      <c r="T7" s="597" t="s">
        <v>221</v>
      </c>
    </row>
    <row r="8" spans="1:20" x14ac:dyDescent="0.2">
      <c r="B8" s="317"/>
      <c r="C8" s="318"/>
      <c r="D8" s="350"/>
      <c r="E8" s="350"/>
      <c r="F8" s="350"/>
      <c r="G8" s="350"/>
      <c r="H8" s="483"/>
      <c r="O8" s="596"/>
      <c r="P8" s="596"/>
      <c r="Q8" s="597"/>
      <c r="R8" s="597"/>
      <c r="S8" s="597"/>
      <c r="T8" s="597"/>
    </row>
    <row r="9" spans="1:20" x14ac:dyDescent="0.2">
      <c r="B9" s="319">
        <v>1995</v>
      </c>
      <c r="C9" s="491">
        <f>SUM(E9:H9)</f>
        <v>9131.5360000000001</v>
      </c>
      <c r="D9" s="478"/>
      <c r="E9" s="478">
        <v>3129.692</v>
      </c>
      <c r="F9" s="478">
        <v>1872.9719999999998</v>
      </c>
      <c r="G9" s="478">
        <v>3030.6320000000001</v>
      </c>
      <c r="H9" s="484">
        <v>1098.24</v>
      </c>
      <c r="I9" s="100"/>
      <c r="J9" s="312"/>
      <c r="N9" s="210">
        <f t="shared" ref="N9:N23" si="0">+B9</f>
        <v>1995</v>
      </c>
      <c r="O9" s="598">
        <f t="shared" ref="O9:O26" si="1">SUM(P9:T9)</f>
        <v>9131.5360000000001</v>
      </c>
      <c r="P9" s="599">
        <f t="shared" ref="P9:T24" si="2">+D9</f>
        <v>0</v>
      </c>
      <c r="Q9" s="599">
        <f t="shared" si="2"/>
        <v>3129.692</v>
      </c>
      <c r="R9" s="599">
        <f t="shared" si="2"/>
        <v>1872.9719999999998</v>
      </c>
      <c r="S9" s="599">
        <f t="shared" si="2"/>
        <v>3030.6320000000001</v>
      </c>
      <c r="T9" s="599">
        <f t="shared" si="2"/>
        <v>1098.24</v>
      </c>
    </row>
    <row r="10" spans="1:20" x14ac:dyDescent="0.2">
      <c r="B10" s="320">
        <v>1996</v>
      </c>
      <c r="C10" s="492">
        <f t="shared" ref="C10:C24" si="3">SUM(E10:H10)</f>
        <v>9410.0730000000003</v>
      </c>
      <c r="D10" s="485"/>
      <c r="E10" s="485">
        <v>3129.692</v>
      </c>
      <c r="F10" s="485">
        <v>1872.9719999999998</v>
      </c>
      <c r="G10" s="485">
        <v>3277.7189999999996</v>
      </c>
      <c r="H10" s="486">
        <v>1129.69</v>
      </c>
      <c r="I10" s="100"/>
      <c r="J10" s="312"/>
      <c r="N10" s="210">
        <f t="shared" si="0"/>
        <v>1996</v>
      </c>
      <c r="O10" s="598">
        <f t="shared" si="1"/>
        <v>9410.0730000000003</v>
      </c>
      <c r="P10" s="599">
        <f t="shared" si="2"/>
        <v>0</v>
      </c>
      <c r="Q10" s="599">
        <f t="shared" si="2"/>
        <v>3129.692</v>
      </c>
      <c r="R10" s="599">
        <f t="shared" si="2"/>
        <v>1872.9719999999998</v>
      </c>
      <c r="S10" s="599">
        <f t="shared" si="2"/>
        <v>3277.7189999999996</v>
      </c>
      <c r="T10" s="599">
        <f t="shared" si="2"/>
        <v>1129.69</v>
      </c>
    </row>
    <row r="11" spans="1:20" x14ac:dyDescent="0.2">
      <c r="B11" s="319">
        <v>1997</v>
      </c>
      <c r="C11" s="491">
        <f t="shared" si="3"/>
        <v>10824.466</v>
      </c>
      <c r="D11" s="478"/>
      <c r="E11" s="478">
        <v>3625.4960000000001</v>
      </c>
      <c r="F11" s="478">
        <v>2240.8330000000005</v>
      </c>
      <c r="G11" s="478">
        <v>3629.1389999999992</v>
      </c>
      <c r="H11" s="484">
        <v>1328.998</v>
      </c>
      <c r="I11" s="100"/>
      <c r="J11" s="312"/>
      <c r="N11" s="210">
        <f t="shared" si="0"/>
        <v>1997</v>
      </c>
      <c r="O11" s="598">
        <f t="shared" si="1"/>
        <v>10824.466</v>
      </c>
      <c r="P11" s="599">
        <f t="shared" si="2"/>
        <v>0</v>
      </c>
      <c r="Q11" s="599">
        <f t="shared" si="2"/>
        <v>3625.4960000000001</v>
      </c>
      <c r="R11" s="599">
        <f t="shared" si="2"/>
        <v>2240.8330000000005</v>
      </c>
      <c r="S11" s="599">
        <f t="shared" si="2"/>
        <v>3629.1389999999992</v>
      </c>
      <c r="T11" s="599">
        <f t="shared" si="2"/>
        <v>1328.998</v>
      </c>
    </row>
    <row r="12" spans="1:20" x14ac:dyDescent="0.2">
      <c r="B12" s="320">
        <v>1998</v>
      </c>
      <c r="C12" s="492">
        <f t="shared" si="3"/>
        <v>11328.207999999999</v>
      </c>
      <c r="D12" s="485"/>
      <c r="E12" s="485">
        <v>3625.4960000000001</v>
      </c>
      <c r="F12" s="485">
        <v>2410.5329999999999</v>
      </c>
      <c r="G12" s="485">
        <v>3894.5229999999988</v>
      </c>
      <c r="H12" s="486">
        <v>1397.6559999999999</v>
      </c>
      <c r="I12" s="100"/>
      <c r="J12" s="312"/>
      <c r="N12" s="210">
        <f t="shared" si="0"/>
        <v>1998</v>
      </c>
      <c r="O12" s="598">
        <f t="shared" si="1"/>
        <v>11328.207999999999</v>
      </c>
      <c r="P12" s="599">
        <f t="shared" si="2"/>
        <v>0</v>
      </c>
      <c r="Q12" s="599">
        <f t="shared" si="2"/>
        <v>3625.4960000000001</v>
      </c>
      <c r="R12" s="599">
        <f t="shared" si="2"/>
        <v>2410.5329999999999</v>
      </c>
      <c r="S12" s="599">
        <f t="shared" si="2"/>
        <v>3894.5229999999988</v>
      </c>
      <c r="T12" s="599">
        <f t="shared" si="2"/>
        <v>1397.6559999999999</v>
      </c>
    </row>
    <row r="13" spans="1:20" x14ac:dyDescent="0.2">
      <c r="B13" s="319">
        <v>1999</v>
      </c>
      <c r="C13" s="491">
        <f t="shared" si="3"/>
        <v>12527.669999999998</v>
      </c>
      <c r="D13" s="478"/>
      <c r="E13" s="478">
        <v>3996.306</v>
      </c>
      <c r="F13" s="478">
        <v>2920.413</v>
      </c>
      <c r="G13" s="478">
        <v>4189.570999999999</v>
      </c>
      <c r="H13" s="484">
        <v>1421.38</v>
      </c>
      <c r="I13" s="100"/>
      <c r="J13" s="312"/>
      <c r="N13" s="210">
        <f t="shared" si="0"/>
        <v>1999</v>
      </c>
      <c r="O13" s="598">
        <f t="shared" si="1"/>
        <v>12527.669999999998</v>
      </c>
      <c r="P13" s="599">
        <f t="shared" si="2"/>
        <v>0</v>
      </c>
      <c r="Q13" s="599">
        <f t="shared" si="2"/>
        <v>3996.306</v>
      </c>
      <c r="R13" s="599">
        <f t="shared" si="2"/>
        <v>2920.413</v>
      </c>
      <c r="S13" s="599">
        <f t="shared" si="2"/>
        <v>4189.570999999999</v>
      </c>
      <c r="T13" s="599">
        <f t="shared" si="2"/>
        <v>1421.38</v>
      </c>
    </row>
    <row r="14" spans="1:20" x14ac:dyDescent="0.2">
      <c r="B14" s="320">
        <v>2000</v>
      </c>
      <c r="C14" s="492">
        <f t="shared" si="3"/>
        <v>13656.000090000001</v>
      </c>
      <c r="D14" s="485"/>
      <c r="E14" s="485">
        <v>4860.0660900000003</v>
      </c>
      <c r="F14" s="485">
        <v>3135.1529999999998</v>
      </c>
      <c r="G14" s="485">
        <v>4213.37</v>
      </c>
      <c r="H14" s="486">
        <v>1447.4109999999998</v>
      </c>
      <c r="I14" s="100"/>
      <c r="J14" s="312"/>
      <c r="N14" s="210">
        <f t="shared" si="0"/>
        <v>2000</v>
      </c>
      <c r="O14" s="598">
        <f t="shared" si="1"/>
        <v>13656.000090000001</v>
      </c>
      <c r="P14" s="599">
        <f t="shared" si="2"/>
        <v>0</v>
      </c>
      <c r="Q14" s="599">
        <f t="shared" si="2"/>
        <v>4860.0660900000003</v>
      </c>
      <c r="R14" s="599">
        <f t="shared" si="2"/>
        <v>3135.1529999999998</v>
      </c>
      <c r="S14" s="599">
        <f t="shared" si="2"/>
        <v>4213.37</v>
      </c>
      <c r="T14" s="599">
        <f t="shared" si="2"/>
        <v>1447.4109999999998</v>
      </c>
    </row>
    <row r="15" spans="1:20" x14ac:dyDescent="0.2">
      <c r="B15" s="319">
        <v>2001</v>
      </c>
      <c r="C15" s="491">
        <f t="shared" si="3"/>
        <v>14260.63609</v>
      </c>
      <c r="D15" s="478"/>
      <c r="E15" s="478">
        <v>5318.1030899999996</v>
      </c>
      <c r="F15" s="478">
        <v>3183.0039999999999</v>
      </c>
      <c r="G15" s="478">
        <v>4309.5889999999999</v>
      </c>
      <c r="H15" s="484">
        <v>1449.94</v>
      </c>
      <c r="I15" s="100"/>
      <c r="J15" s="312"/>
      <c r="N15" s="210">
        <f t="shared" si="0"/>
        <v>2001</v>
      </c>
      <c r="O15" s="598">
        <f t="shared" si="1"/>
        <v>14260.63609</v>
      </c>
      <c r="P15" s="599">
        <f t="shared" si="2"/>
        <v>0</v>
      </c>
      <c r="Q15" s="599">
        <f t="shared" si="2"/>
        <v>5318.1030899999996</v>
      </c>
      <c r="R15" s="599">
        <f t="shared" si="2"/>
        <v>3183.0039999999999</v>
      </c>
      <c r="S15" s="599">
        <f t="shared" si="2"/>
        <v>4309.5889999999999</v>
      </c>
      <c r="T15" s="599">
        <f t="shared" si="2"/>
        <v>1449.94</v>
      </c>
    </row>
    <row r="16" spans="1:20" x14ac:dyDescent="0.2">
      <c r="B16" s="320">
        <v>2002</v>
      </c>
      <c r="C16" s="492">
        <f t="shared" si="3"/>
        <v>14678.775089999999</v>
      </c>
      <c r="D16" s="485"/>
      <c r="E16" s="485">
        <v>5558.6770900000001</v>
      </c>
      <c r="F16" s="485">
        <v>3331.1639999999998</v>
      </c>
      <c r="G16" s="485">
        <v>4334.5889999999999</v>
      </c>
      <c r="H16" s="486">
        <v>1454.345</v>
      </c>
      <c r="I16" s="100"/>
      <c r="J16" s="312"/>
      <c r="N16" s="210">
        <f t="shared" si="0"/>
        <v>2002</v>
      </c>
      <c r="O16" s="598">
        <f t="shared" si="1"/>
        <v>14678.775089999999</v>
      </c>
      <c r="P16" s="599">
        <f t="shared" si="2"/>
        <v>0</v>
      </c>
      <c r="Q16" s="599">
        <f t="shared" si="2"/>
        <v>5558.6770900000001</v>
      </c>
      <c r="R16" s="599">
        <f t="shared" si="2"/>
        <v>3331.1639999999998</v>
      </c>
      <c r="S16" s="599">
        <f t="shared" si="2"/>
        <v>4334.5889999999999</v>
      </c>
      <c r="T16" s="599">
        <f t="shared" si="2"/>
        <v>1454.345</v>
      </c>
    </row>
    <row r="17" spans="2:20" x14ac:dyDescent="0.2">
      <c r="B17" s="319">
        <v>2003</v>
      </c>
      <c r="C17" s="491">
        <f>SUM(E17:H17)</f>
        <v>14692.997089999999</v>
      </c>
      <c r="D17" s="478"/>
      <c r="E17" s="478">
        <v>5558.6770900000001</v>
      </c>
      <c r="F17" s="478">
        <v>3338.1639999999998</v>
      </c>
      <c r="G17" s="478">
        <v>4335.3109999999997</v>
      </c>
      <c r="H17" s="484">
        <v>1460.845</v>
      </c>
      <c r="I17" s="100"/>
      <c r="J17" s="312"/>
      <c r="N17" s="210">
        <f t="shared" si="0"/>
        <v>2003</v>
      </c>
      <c r="O17" s="598">
        <f t="shared" si="1"/>
        <v>14692.997089999999</v>
      </c>
      <c r="P17" s="599">
        <f t="shared" si="2"/>
        <v>0</v>
      </c>
      <c r="Q17" s="599">
        <f t="shared" si="2"/>
        <v>5558.6770900000001</v>
      </c>
      <c r="R17" s="599">
        <f t="shared" si="2"/>
        <v>3338.1639999999998</v>
      </c>
      <c r="S17" s="599">
        <f t="shared" si="2"/>
        <v>4335.3109999999997</v>
      </c>
      <c r="T17" s="599">
        <f t="shared" si="2"/>
        <v>1460.845</v>
      </c>
    </row>
    <row r="18" spans="2:20" x14ac:dyDescent="0.2">
      <c r="B18" s="320">
        <v>2004</v>
      </c>
      <c r="C18" s="492">
        <f t="shared" si="3"/>
        <v>14856.66409</v>
      </c>
      <c r="D18" s="485"/>
      <c r="E18" s="485">
        <v>5613.9770900000003</v>
      </c>
      <c r="F18" s="485">
        <v>3337.61</v>
      </c>
      <c r="G18" s="485">
        <v>4335.3109999999997</v>
      </c>
      <c r="H18" s="486">
        <v>1569.7659999999996</v>
      </c>
      <c r="I18" s="100"/>
      <c r="J18" s="312"/>
      <c r="N18" s="210">
        <f t="shared" si="0"/>
        <v>2004</v>
      </c>
      <c r="O18" s="598">
        <f t="shared" si="1"/>
        <v>14856.66409</v>
      </c>
      <c r="P18" s="599">
        <f t="shared" si="2"/>
        <v>0</v>
      </c>
      <c r="Q18" s="599">
        <f t="shared" si="2"/>
        <v>5613.9770900000003</v>
      </c>
      <c r="R18" s="599">
        <f t="shared" si="2"/>
        <v>3337.61</v>
      </c>
      <c r="S18" s="599">
        <f t="shared" si="2"/>
        <v>4335.3109999999997</v>
      </c>
      <c r="T18" s="599">
        <f t="shared" si="2"/>
        <v>1569.7659999999996</v>
      </c>
    </row>
    <row r="19" spans="2:20" x14ac:dyDescent="0.2">
      <c r="B19" s="319">
        <v>2005</v>
      </c>
      <c r="C19" s="491">
        <f t="shared" si="3"/>
        <v>15271.97709</v>
      </c>
      <c r="D19" s="478"/>
      <c r="E19" s="478">
        <v>5613.9770900000003</v>
      </c>
      <c r="F19" s="478">
        <v>3435</v>
      </c>
      <c r="G19" s="478">
        <v>4678</v>
      </c>
      <c r="H19" s="484">
        <v>1545</v>
      </c>
      <c r="I19" s="100"/>
      <c r="J19" s="312"/>
      <c r="N19" s="210">
        <f t="shared" si="0"/>
        <v>2005</v>
      </c>
      <c r="O19" s="598">
        <f t="shared" si="1"/>
        <v>15271.97709</v>
      </c>
      <c r="P19" s="599">
        <f t="shared" si="2"/>
        <v>0</v>
      </c>
      <c r="Q19" s="599">
        <f t="shared" si="2"/>
        <v>5613.9770900000003</v>
      </c>
      <c r="R19" s="599">
        <f t="shared" si="2"/>
        <v>3435</v>
      </c>
      <c r="S19" s="599">
        <f t="shared" si="2"/>
        <v>4678</v>
      </c>
      <c r="T19" s="599">
        <f t="shared" si="2"/>
        <v>1545</v>
      </c>
    </row>
    <row r="20" spans="2:20" x14ac:dyDescent="0.2">
      <c r="B20" s="320">
        <v>2006</v>
      </c>
      <c r="C20" s="492">
        <f t="shared" si="3"/>
        <v>15688.071089999998</v>
      </c>
      <c r="D20" s="485"/>
      <c r="E20" s="485">
        <v>5664.0870899999991</v>
      </c>
      <c r="F20" s="485">
        <v>3636.3779999999997</v>
      </c>
      <c r="G20" s="485">
        <v>4841.8579999999993</v>
      </c>
      <c r="H20" s="486">
        <v>1545.7479999999998</v>
      </c>
      <c r="I20" s="100"/>
      <c r="J20" s="312"/>
      <c r="N20" s="210">
        <f t="shared" si="0"/>
        <v>2006</v>
      </c>
      <c r="O20" s="598">
        <f t="shared" si="1"/>
        <v>15688.071089999998</v>
      </c>
      <c r="P20" s="599">
        <f t="shared" si="2"/>
        <v>0</v>
      </c>
      <c r="Q20" s="599">
        <f t="shared" si="2"/>
        <v>5664.0870899999991</v>
      </c>
      <c r="R20" s="599">
        <f t="shared" si="2"/>
        <v>3636.3779999999997</v>
      </c>
      <c r="S20" s="599">
        <f t="shared" si="2"/>
        <v>4841.8579999999993</v>
      </c>
      <c r="T20" s="599">
        <f t="shared" si="2"/>
        <v>1545.7479999999998</v>
      </c>
    </row>
    <row r="21" spans="2:20" x14ac:dyDescent="0.2">
      <c r="B21" s="319">
        <v>2007</v>
      </c>
      <c r="C21" s="491">
        <f t="shared" si="3"/>
        <v>15711.891089999997</v>
      </c>
      <c r="D21" s="478"/>
      <c r="E21" s="478">
        <v>5676.9770899999985</v>
      </c>
      <c r="F21" s="478">
        <v>3636.3779999999997</v>
      </c>
      <c r="G21" s="478">
        <v>4852.7879999999996</v>
      </c>
      <c r="H21" s="484">
        <v>1545.7479999999998</v>
      </c>
      <c r="I21" s="100"/>
      <c r="J21" s="312"/>
      <c r="N21" s="585">
        <f t="shared" si="0"/>
        <v>2007</v>
      </c>
      <c r="O21" s="598">
        <f t="shared" si="1"/>
        <v>15711.891089999997</v>
      </c>
      <c r="P21" s="599">
        <f t="shared" si="2"/>
        <v>0</v>
      </c>
      <c r="Q21" s="599">
        <f t="shared" si="2"/>
        <v>5676.9770899999985</v>
      </c>
      <c r="R21" s="599">
        <f t="shared" si="2"/>
        <v>3636.3779999999997</v>
      </c>
      <c r="S21" s="599">
        <f t="shared" si="2"/>
        <v>4852.7879999999996</v>
      </c>
      <c r="T21" s="599">
        <f t="shared" si="2"/>
        <v>1545.7479999999998</v>
      </c>
    </row>
    <row r="22" spans="2:20" x14ac:dyDescent="0.2">
      <c r="B22" s="320">
        <v>2008</v>
      </c>
      <c r="C22" s="492">
        <f t="shared" si="3"/>
        <v>15755.003089999998</v>
      </c>
      <c r="D22" s="485"/>
      <c r="E22" s="485">
        <v>5710.7150899999997</v>
      </c>
      <c r="F22" s="485">
        <v>3636.3779999999992</v>
      </c>
      <c r="G22" s="485">
        <v>4862.1620000000003</v>
      </c>
      <c r="H22" s="486">
        <v>1545.7479999999998</v>
      </c>
      <c r="I22" s="100"/>
      <c r="J22" s="312"/>
      <c r="N22" s="585">
        <f t="shared" si="0"/>
        <v>2008</v>
      </c>
      <c r="O22" s="598">
        <f t="shared" si="1"/>
        <v>15755.003089999998</v>
      </c>
      <c r="P22" s="599">
        <f t="shared" si="2"/>
        <v>0</v>
      </c>
      <c r="Q22" s="599">
        <f t="shared" si="2"/>
        <v>5710.7150899999997</v>
      </c>
      <c r="R22" s="599">
        <f t="shared" si="2"/>
        <v>3636.3779999999992</v>
      </c>
      <c r="S22" s="599">
        <f t="shared" si="2"/>
        <v>4862.1620000000003</v>
      </c>
      <c r="T22" s="599">
        <f t="shared" si="2"/>
        <v>1545.7479999999998</v>
      </c>
    </row>
    <row r="23" spans="2:20" x14ac:dyDescent="0.2">
      <c r="B23" s="319">
        <v>2009</v>
      </c>
      <c r="C23" s="491">
        <f t="shared" si="3"/>
        <v>16319.401089999999</v>
      </c>
      <c r="D23" s="478"/>
      <c r="E23" s="478">
        <v>5714.2660900000001</v>
      </c>
      <c r="F23" s="478">
        <v>4057.0279999999998</v>
      </c>
      <c r="G23" s="478">
        <v>4992.9470000000001</v>
      </c>
      <c r="H23" s="484">
        <v>1555.16</v>
      </c>
      <c r="I23" s="100"/>
      <c r="J23" s="312"/>
      <c r="N23" s="585">
        <f t="shared" si="0"/>
        <v>2009</v>
      </c>
      <c r="O23" s="598">
        <f t="shared" si="1"/>
        <v>16319.401089999999</v>
      </c>
      <c r="P23" s="599">
        <f t="shared" si="2"/>
        <v>0</v>
      </c>
      <c r="Q23" s="599">
        <f t="shared" si="2"/>
        <v>5714.2660900000001</v>
      </c>
      <c r="R23" s="599">
        <f t="shared" si="2"/>
        <v>4057.0279999999998</v>
      </c>
      <c r="S23" s="599">
        <f t="shared" si="2"/>
        <v>4992.9470000000001</v>
      </c>
      <c r="T23" s="599">
        <f t="shared" si="2"/>
        <v>1555.16</v>
      </c>
    </row>
    <row r="24" spans="2:20" x14ac:dyDescent="0.2">
      <c r="B24" s="320">
        <v>2010</v>
      </c>
      <c r="C24" s="492">
        <f t="shared" si="3"/>
        <v>17064.863289999998</v>
      </c>
      <c r="D24" s="485"/>
      <c r="E24" s="485">
        <v>5862.5670899999986</v>
      </c>
      <c r="F24" s="485">
        <v>4252.0780000000004</v>
      </c>
      <c r="G24" s="485">
        <v>5204.0582000000004</v>
      </c>
      <c r="H24" s="486">
        <v>1746.1599999999999</v>
      </c>
      <c r="I24" s="100"/>
      <c r="J24" s="312"/>
      <c r="N24" s="585">
        <f t="shared" ref="N24:N29" si="4">+B24</f>
        <v>2010</v>
      </c>
      <c r="O24" s="598">
        <f t="shared" si="1"/>
        <v>17064.863289999998</v>
      </c>
      <c r="P24" s="599">
        <f t="shared" si="2"/>
        <v>0</v>
      </c>
      <c r="Q24" s="599">
        <f t="shared" si="2"/>
        <v>5862.5670899999986</v>
      </c>
      <c r="R24" s="599">
        <f t="shared" si="2"/>
        <v>4252.0780000000004</v>
      </c>
      <c r="S24" s="599">
        <f t="shared" si="2"/>
        <v>5204.0582000000004</v>
      </c>
      <c r="T24" s="599">
        <f t="shared" si="2"/>
        <v>1746.1599999999999</v>
      </c>
    </row>
    <row r="25" spans="2:20" x14ac:dyDescent="0.2">
      <c r="B25" s="319" t="s">
        <v>223</v>
      </c>
      <c r="C25" s="491">
        <f t="shared" ref="C25:C33" si="5">SUM(D25:H25)</f>
        <v>18833.281290000003</v>
      </c>
      <c r="D25" s="478">
        <v>89.9</v>
      </c>
      <c r="E25" s="478">
        <v>7105.9870899999996</v>
      </c>
      <c r="F25" s="478">
        <v>4277.8440000000001</v>
      </c>
      <c r="G25" s="478">
        <v>5607.8222000000023</v>
      </c>
      <c r="H25" s="484">
        <v>1751.7279999999994</v>
      </c>
      <c r="I25" s="100"/>
      <c r="J25" s="312"/>
      <c r="N25" s="585" t="str">
        <f t="shared" si="4"/>
        <v>2011*</v>
      </c>
      <c r="O25" s="598">
        <f t="shared" si="1"/>
        <v>18833.281290000003</v>
      </c>
      <c r="P25" s="599">
        <f t="shared" ref="P25:P30" si="6">+D25</f>
        <v>89.9</v>
      </c>
      <c r="Q25" s="599">
        <f t="shared" ref="Q25:T27" si="7">+E25</f>
        <v>7105.9870899999996</v>
      </c>
      <c r="R25" s="599">
        <f t="shared" si="7"/>
        <v>4277.8440000000001</v>
      </c>
      <c r="S25" s="599">
        <f t="shared" si="7"/>
        <v>5607.8222000000023</v>
      </c>
      <c r="T25" s="599">
        <f t="shared" si="7"/>
        <v>1751.7279999999994</v>
      </c>
    </row>
    <row r="26" spans="2:20" x14ac:dyDescent="0.2">
      <c r="B26" s="320">
        <v>2012</v>
      </c>
      <c r="C26" s="492">
        <f t="shared" si="5"/>
        <v>19935.758290000002</v>
      </c>
      <c r="D26" s="485">
        <v>611.9</v>
      </c>
      <c r="E26" s="485">
        <v>7459.7680899999996</v>
      </c>
      <c r="F26" s="485">
        <v>4285.6540000000005</v>
      </c>
      <c r="G26" s="485">
        <v>5782.9882000000034</v>
      </c>
      <c r="H26" s="486">
        <v>1795.4479999999992</v>
      </c>
      <c r="I26" s="100"/>
      <c r="J26" s="312"/>
      <c r="N26" s="585">
        <f t="shared" si="4"/>
        <v>2012</v>
      </c>
      <c r="O26" s="598">
        <f t="shared" si="1"/>
        <v>19935.758290000002</v>
      </c>
      <c r="P26" s="599">
        <f t="shared" si="6"/>
        <v>611.9</v>
      </c>
      <c r="Q26" s="599">
        <f t="shared" si="7"/>
        <v>7459.7680899999996</v>
      </c>
      <c r="R26" s="599">
        <f t="shared" si="7"/>
        <v>4285.6540000000005</v>
      </c>
      <c r="S26" s="599">
        <f t="shared" si="7"/>
        <v>5782.9882000000034</v>
      </c>
      <c r="T26" s="599">
        <f t="shared" si="7"/>
        <v>1795.4479999999992</v>
      </c>
    </row>
    <row r="27" spans="2:20" x14ac:dyDescent="0.2">
      <c r="B27" s="319">
        <v>2013</v>
      </c>
      <c r="C27" s="491">
        <f t="shared" si="5"/>
        <v>20585.119200000001</v>
      </c>
      <c r="D27" s="478">
        <v>621.86</v>
      </c>
      <c r="E27" s="478">
        <v>7841.6769999999997</v>
      </c>
      <c r="F27" s="478">
        <v>4416.9339999999993</v>
      </c>
      <c r="G27" s="478">
        <v>5907.1522000000004</v>
      </c>
      <c r="H27" s="484">
        <v>1797.4960000000001</v>
      </c>
      <c r="I27" s="100"/>
      <c r="J27" s="312"/>
      <c r="N27" s="585">
        <f t="shared" si="4"/>
        <v>2013</v>
      </c>
      <c r="O27" s="598">
        <f>SUM(P27:T27)</f>
        <v>20585.119200000001</v>
      </c>
      <c r="P27" s="599">
        <f t="shared" si="6"/>
        <v>621.86</v>
      </c>
      <c r="Q27" s="599">
        <f t="shared" si="7"/>
        <v>7841.6769999999997</v>
      </c>
      <c r="R27" s="599">
        <f t="shared" si="7"/>
        <v>4416.9339999999993</v>
      </c>
      <c r="S27" s="599">
        <f t="shared" si="7"/>
        <v>5907.1522000000004</v>
      </c>
      <c r="T27" s="599">
        <f t="shared" si="7"/>
        <v>1797.4960000000001</v>
      </c>
    </row>
    <row r="28" spans="2:20" x14ac:dyDescent="0.2">
      <c r="B28" s="321">
        <v>2014</v>
      </c>
      <c r="C28" s="492">
        <f t="shared" si="5"/>
        <v>21589.042330000004</v>
      </c>
      <c r="D28" s="485">
        <v>1838.46</v>
      </c>
      <c r="E28" s="485">
        <v>8240.8355100000008</v>
      </c>
      <c r="F28" s="485">
        <v>4368.3289000000004</v>
      </c>
      <c r="G28" s="487">
        <v>4888.8531000000021</v>
      </c>
      <c r="H28" s="486">
        <v>2252.5648200000005</v>
      </c>
      <c r="I28" s="100"/>
      <c r="J28" s="312"/>
      <c r="N28" s="585">
        <f t="shared" si="4"/>
        <v>2014</v>
      </c>
      <c r="O28" s="598">
        <f>SUM(P28:T28)</f>
        <v>21589.042330000004</v>
      </c>
      <c r="P28" s="599">
        <f t="shared" si="6"/>
        <v>1838.46</v>
      </c>
      <c r="Q28" s="599">
        <f t="shared" ref="Q28:T29" si="8">+E28</f>
        <v>8240.8355100000008</v>
      </c>
      <c r="R28" s="599">
        <f t="shared" si="8"/>
        <v>4368.3289000000004</v>
      </c>
      <c r="S28" s="599">
        <f t="shared" si="8"/>
        <v>4888.8531000000021</v>
      </c>
      <c r="T28" s="599">
        <f t="shared" si="8"/>
        <v>2252.5648200000005</v>
      </c>
    </row>
    <row r="29" spans="2:20" x14ac:dyDescent="0.2">
      <c r="B29" s="319">
        <v>2015</v>
      </c>
      <c r="C29" s="491">
        <f t="shared" si="5"/>
        <v>22173.261100000003</v>
      </c>
      <c r="D29" s="478">
        <v>1838.46</v>
      </c>
      <c r="E29" s="478">
        <v>8665.1200000000008</v>
      </c>
      <c r="F29" s="478">
        <v>4368.78</v>
      </c>
      <c r="G29" s="488">
        <v>5022.3391000000011</v>
      </c>
      <c r="H29" s="484">
        <v>2278.5619999999999</v>
      </c>
      <c r="I29" s="100"/>
      <c r="J29" s="312"/>
      <c r="N29" s="585">
        <f t="shared" si="4"/>
        <v>2015</v>
      </c>
      <c r="O29" s="598">
        <f>SUM(P29:T29)</f>
        <v>22173.261100000003</v>
      </c>
      <c r="P29" s="599">
        <f t="shared" si="6"/>
        <v>1838.46</v>
      </c>
      <c r="Q29" s="599">
        <f t="shared" si="8"/>
        <v>8665.1200000000008</v>
      </c>
      <c r="R29" s="599">
        <f t="shared" si="8"/>
        <v>4368.78</v>
      </c>
      <c r="S29" s="599">
        <f t="shared" si="8"/>
        <v>5022.3391000000011</v>
      </c>
      <c r="T29" s="599">
        <f t="shared" si="8"/>
        <v>2278.5619999999999</v>
      </c>
    </row>
    <row r="30" spans="2:20" x14ac:dyDescent="0.2">
      <c r="B30" s="531">
        <v>2016</v>
      </c>
      <c r="C30" s="493">
        <f t="shared" si="5"/>
        <v>23488.141329999999</v>
      </c>
      <c r="D30" s="489">
        <v>1969.8000000000002</v>
      </c>
      <c r="E30" s="489">
        <v>9567.8435099999933</v>
      </c>
      <c r="F30" s="489">
        <v>4432.2038999999995</v>
      </c>
      <c r="G30" s="489">
        <v>5230.0291000000043</v>
      </c>
      <c r="H30" s="490">
        <v>2288.2648200000003</v>
      </c>
      <c r="I30" s="100"/>
      <c r="J30" s="312"/>
      <c r="N30" s="585">
        <f>+B30</f>
        <v>2016</v>
      </c>
      <c r="O30" s="598">
        <f>SUM(P30:T30)</f>
        <v>23488.141329999999</v>
      </c>
      <c r="P30" s="599">
        <f t="shared" si="6"/>
        <v>1969.8000000000002</v>
      </c>
      <c r="Q30" s="599">
        <f>+E30</f>
        <v>9567.8435099999933</v>
      </c>
      <c r="R30" s="599">
        <f>+F30</f>
        <v>4432.2038999999995</v>
      </c>
      <c r="S30" s="599">
        <f>+G30</f>
        <v>5230.0291000000043</v>
      </c>
      <c r="T30" s="599">
        <f>+H30</f>
        <v>2288.2648200000003</v>
      </c>
    </row>
    <row r="31" spans="2:20" x14ac:dyDescent="0.2">
      <c r="B31" s="319">
        <v>2017</v>
      </c>
      <c r="C31" s="491">
        <f t="shared" si="5"/>
        <v>24845.201329999996</v>
      </c>
      <c r="D31" s="478">
        <v>2882</v>
      </c>
      <c r="E31" s="478">
        <v>10162.963509999998</v>
      </c>
      <c r="F31" s="478">
        <v>4386.0339000000004</v>
      </c>
      <c r="G31" s="488">
        <v>5403.9190999999992</v>
      </c>
      <c r="H31" s="484">
        <v>2010.2848200000008</v>
      </c>
      <c r="I31" s="100"/>
      <c r="J31" s="312"/>
      <c r="N31" s="585">
        <v>2017</v>
      </c>
      <c r="O31" s="598">
        <f t="shared" ref="O31:O33" si="9">SUM(P31:T31)</f>
        <v>24845.201329999996</v>
      </c>
      <c r="P31" s="599">
        <f t="shared" ref="P31:P33" si="10">+D31</f>
        <v>2882</v>
      </c>
      <c r="Q31" s="599">
        <f t="shared" ref="Q31:Q33" si="11">+E31</f>
        <v>10162.963509999998</v>
      </c>
      <c r="R31" s="599">
        <f t="shared" ref="R31:R33" si="12">+F31</f>
        <v>4386.0339000000004</v>
      </c>
      <c r="S31" s="599">
        <f t="shared" ref="S31:S33" si="13">+G31</f>
        <v>5403.9190999999992</v>
      </c>
      <c r="T31" s="599">
        <f t="shared" ref="T31:T33" si="14">+H31</f>
        <v>2010.2848200000008</v>
      </c>
    </row>
    <row r="32" spans="2:20" x14ac:dyDescent="0.2">
      <c r="B32" s="1252">
        <v>2018</v>
      </c>
      <c r="C32" s="493">
        <f t="shared" si="5"/>
        <v>28262.406329999994</v>
      </c>
      <c r="D32" s="489">
        <v>2883.3999999999996</v>
      </c>
      <c r="E32" s="489">
        <v>10966.555509999998</v>
      </c>
      <c r="F32" s="489">
        <v>4738.1038999999982</v>
      </c>
      <c r="G32" s="489">
        <v>7008.2821000000004</v>
      </c>
      <c r="H32" s="490">
        <v>2666.0648200000001</v>
      </c>
      <c r="I32" s="100"/>
      <c r="J32" s="312"/>
      <c r="N32" s="585">
        <v>2018</v>
      </c>
      <c r="O32" s="598">
        <f t="shared" si="9"/>
        <v>28262.406329999994</v>
      </c>
      <c r="P32" s="599">
        <f t="shared" si="10"/>
        <v>2883.3999999999996</v>
      </c>
      <c r="Q32" s="599">
        <f t="shared" si="11"/>
        <v>10966.555509999998</v>
      </c>
      <c r="R32" s="599">
        <f t="shared" si="12"/>
        <v>4738.1038999999982</v>
      </c>
      <c r="S32" s="599">
        <f t="shared" si="13"/>
        <v>7008.2821000000004</v>
      </c>
      <c r="T32" s="599">
        <f t="shared" si="14"/>
        <v>2666.0648200000001</v>
      </c>
    </row>
    <row r="33" spans="2:21" x14ac:dyDescent="0.2">
      <c r="B33" s="1253">
        <v>2019</v>
      </c>
      <c r="C33" s="491">
        <f t="shared" si="5"/>
        <v>28639.116329999993</v>
      </c>
      <c r="D33" s="478">
        <v>2883.4</v>
      </c>
      <c r="E33" s="478">
        <v>11107.53551</v>
      </c>
      <c r="F33" s="478">
        <v>4796.773900000001</v>
      </c>
      <c r="G33" s="488">
        <v>7185.3420999999944</v>
      </c>
      <c r="H33" s="484">
        <v>2666.0648199999991</v>
      </c>
      <c r="I33" s="100"/>
      <c r="J33" s="312"/>
      <c r="N33" s="585">
        <v>2019</v>
      </c>
      <c r="O33" s="598">
        <f t="shared" si="9"/>
        <v>28639.116329999993</v>
      </c>
      <c r="P33" s="599">
        <f t="shared" si="10"/>
        <v>2883.4</v>
      </c>
      <c r="Q33" s="599">
        <f t="shared" si="11"/>
        <v>11107.53551</v>
      </c>
      <c r="R33" s="599">
        <f t="shared" si="12"/>
        <v>4796.773900000001</v>
      </c>
      <c r="S33" s="599">
        <f t="shared" si="13"/>
        <v>7185.3420999999944</v>
      </c>
      <c r="T33" s="599">
        <f t="shared" si="14"/>
        <v>2666.0648199999991</v>
      </c>
    </row>
    <row r="34" spans="2:21" ht="13.5" thickBot="1" x14ac:dyDescent="0.25">
      <c r="B34" s="322"/>
      <c r="C34" s="323"/>
      <c r="D34" s="324"/>
      <c r="E34" s="324"/>
      <c r="F34" s="324"/>
      <c r="G34" s="324"/>
      <c r="H34" s="325"/>
      <c r="I34" s="100"/>
      <c r="J34" s="312"/>
      <c r="K34" s="170"/>
      <c r="M34" s="598"/>
      <c r="N34" s="599"/>
      <c r="O34" s="599"/>
      <c r="P34" s="599"/>
      <c r="Q34" s="599"/>
      <c r="R34" s="599"/>
    </row>
    <row r="35" spans="2:21" x14ac:dyDescent="0.2">
      <c r="B35" s="55" t="s">
        <v>356</v>
      </c>
      <c r="C35" s="479">
        <f t="shared" ref="C35:H35" si="15">(C33/C32)-1</f>
        <v>1.3329013658689437E-2</v>
      </c>
      <c r="D35" s="1072">
        <f t="shared" si="15"/>
        <v>0</v>
      </c>
      <c r="E35" s="1072">
        <f t="shared" si="15"/>
        <v>1.285544945005257E-2</v>
      </c>
      <c r="F35" s="1072">
        <f t="shared" si="15"/>
        <v>1.238259042820955E-2</v>
      </c>
      <c r="G35" s="1072">
        <f t="shared" si="15"/>
        <v>2.5264393966103915E-2</v>
      </c>
      <c r="H35" s="1073">
        <f t="shared" si="15"/>
        <v>0</v>
      </c>
      <c r="I35" s="100"/>
      <c r="J35" s="312"/>
      <c r="M35" s="598"/>
      <c r="N35" s="599"/>
      <c r="O35" s="599"/>
      <c r="P35" s="599"/>
      <c r="Q35" s="599"/>
      <c r="R35" s="599"/>
    </row>
    <row r="36" spans="2:21" x14ac:dyDescent="0.2">
      <c r="B36" s="269" t="s">
        <v>357</v>
      </c>
      <c r="C36" s="480">
        <f t="shared" ref="C36:H36" si="16">((C33/C28)^(1/5))-1</f>
        <v>5.8145153506801828E-2</v>
      </c>
      <c r="D36" s="1085">
        <f t="shared" si="16"/>
        <v>9.4183450460063378E-2</v>
      </c>
      <c r="E36" s="1085">
        <f t="shared" si="16"/>
        <v>6.1522717686999462E-2</v>
      </c>
      <c r="F36" s="1085">
        <f t="shared" si="16"/>
        <v>1.8888789016634933E-2</v>
      </c>
      <c r="G36" s="1085">
        <f t="shared" si="16"/>
        <v>8.006052267074848E-2</v>
      </c>
      <c r="H36" s="1086">
        <f t="shared" si="16"/>
        <v>3.428132092381686E-2</v>
      </c>
    </row>
    <row r="37" spans="2:21" x14ac:dyDescent="0.2">
      <c r="B37" s="270" t="s">
        <v>358</v>
      </c>
      <c r="C37" s="481">
        <f>(C33/C23)-1</f>
        <v>0.75491221596049352</v>
      </c>
      <c r="D37" s="1083"/>
      <c r="E37" s="1083">
        <f>(E33/E23)-1</f>
        <v>0.94382538983234499</v>
      </c>
      <c r="F37" s="1083">
        <f>(F33/F23)-1</f>
        <v>0.18233689784739004</v>
      </c>
      <c r="G37" s="1083">
        <f>(G33/G23)-1</f>
        <v>0.43909841222027679</v>
      </c>
      <c r="H37" s="1087">
        <f>(H33/H23)-1</f>
        <v>0.7143347436919667</v>
      </c>
      <c r="K37" s="170"/>
    </row>
    <row r="38" spans="2:21" ht="13.5" thickBot="1" x14ac:dyDescent="0.25">
      <c r="B38" s="271" t="s">
        <v>359</v>
      </c>
      <c r="C38" s="482">
        <f>((C33/C23)^(1/10))-1</f>
        <v>5.7853530241668061E-2</v>
      </c>
      <c r="D38" s="1079"/>
      <c r="E38" s="1079">
        <f>((E33/E23)^(1/10))-1</f>
        <v>6.872440045990813E-2</v>
      </c>
      <c r="F38" s="1079">
        <f>((F33/F23)^(1/10))-1</f>
        <v>1.6890345981859456E-2</v>
      </c>
      <c r="G38" s="1079">
        <f>((G33/G23)^(1/10))-1</f>
        <v>3.7072335596164407E-2</v>
      </c>
      <c r="H38" s="1080">
        <f>((H33/H23)^(1/10))-1</f>
        <v>5.5381708062431922E-2</v>
      </c>
    </row>
    <row r="39" spans="2:21" s="211" customFormat="1" ht="6" customHeight="1" x14ac:dyDescent="0.2">
      <c r="B39" s="326"/>
      <c r="C39" s="327"/>
      <c r="D39" s="327"/>
      <c r="E39" s="327"/>
      <c r="F39" s="327"/>
      <c r="G39" s="327"/>
      <c r="H39" s="327"/>
      <c r="L39" s="591"/>
      <c r="M39" s="591"/>
      <c r="N39" s="591"/>
      <c r="O39" s="591"/>
      <c r="P39" s="591"/>
      <c r="Q39" s="591"/>
      <c r="R39" s="591"/>
      <c r="S39" s="591"/>
      <c r="T39" s="591"/>
      <c r="U39" s="591"/>
    </row>
    <row r="40" spans="2:21" x14ac:dyDescent="0.2">
      <c r="B40" s="328" t="s">
        <v>244</v>
      </c>
    </row>
    <row r="41" spans="2:21" x14ac:dyDescent="0.2">
      <c r="B41" s="329" t="s">
        <v>224</v>
      </c>
    </row>
    <row r="42" spans="2:21" x14ac:dyDescent="0.2">
      <c r="B42" s="330"/>
    </row>
    <row r="44" spans="2:21" x14ac:dyDescent="0.2">
      <c r="J44" s="312"/>
      <c r="L44" s="584"/>
    </row>
    <row r="45" spans="2:21" x14ac:dyDescent="0.2">
      <c r="L45" s="584"/>
    </row>
    <row r="46" spans="2:21" x14ac:dyDescent="0.2">
      <c r="L46" s="584"/>
    </row>
    <row r="47" spans="2:21" x14ac:dyDescent="0.2">
      <c r="L47" s="584"/>
    </row>
    <row r="48" spans="2:21" x14ac:dyDescent="0.2">
      <c r="L48" s="584"/>
    </row>
    <row r="49" spans="11:13" x14ac:dyDescent="0.2">
      <c r="L49" s="584"/>
    </row>
    <row r="50" spans="11:13" x14ac:dyDescent="0.2">
      <c r="L50" s="584"/>
    </row>
    <row r="51" spans="11:13" x14ac:dyDescent="0.2">
      <c r="L51" s="584"/>
      <c r="M51" s="584"/>
    </row>
    <row r="52" spans="11:13" x14ac:dyDescent="0.2">
      <c r="L52" s="584"/>
      <c r="M52" s="584"/>
    </row>
    <row r="53" spans="11:13" x14ac:dyDescent="0.2">
      <c r="K53" s="284"/>
      <c r="L53" s="584"/>
      <c r="M53" s="584"/>
    </row>
    <row r="54" spans="11:13" x14ac:dyDescent="0.2">
      <c r="L54" s="584"/>
      <c r="M54" s="584"/>
    </row>
  </sheetData>
  <mergeCells count="3">
    <mergeCell ref="B5:B6"/>
    <mergeCell ref="C5:H5"/>
    <mergeCell ref="C6:H6"/>
  </mergeCells>
  <printOptions horizontalCentered="1"/>
  <pageMargins left="0.51181102362204722" right="0.27559055118110237" top="0.35433070866141736" bottom="0.19685039370078741" header="0" footer="0"/>
  <pageSetup paperSize="9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view="pageBreakPreview" zoomScale="90" zoomScaleNormal="85" zoomScaleSheetLayoutView="90" workbookViewId="0">
      <selection activeCell="O79" sqref="O79"/>
    </sheetView>
  </sheetViews>
  <sheetFormatPr baseColWidth="10" defaultColWidth="11.42578125" defaultRowHeight="12.75" x14ac:dyDescent="0.2"/>
  <cols>
    <col min="1" max="1" width="2.7109375" style="33" customWidth="1"/>
    <col min="2" max="2" width="22.140625" style="33" customWidth="1"/>
    <col min="3" max="3" width="15" style="33" customWidth="1"/>
    <col min="4" max="4" width="13.28515625" style="33" customWidth="1"/>
    <col min="5" max="5" width="12.7109375" style="33" customWidth="1"/>
    <col min="6" max="6" width="14" style="33" customWidth="1"/>
    <col min="7" max="7" width="11" style="33" customWidth="1"/>
    <col min="8" max="8" width="12.42578125" style="33" customWidth="1"/>
    <col min="9" max="9" width="11.7109375" style="33" customWidth="1"/>
    <col min="10" max="10" width="11" style="33" customWidth="1"/>
    <col min="11" max="11" width="12.28515625" style="33" customWidth="1"/>
    <col min="12" max="13" width="11.42578125" style="33"/>
    <col min="14" max="16" width="11.42578125" style="602"/>
    <col min="17" max="16384" width="11.42578125" style="33"/>
  </cols>
  <sheetData>
    <row r="1" spans="1:16" ht="15.75" x14ac:dyDescent="0.25">
      <c r="A1" s="1281" t="s">
        <v>211</v>
      </c>
      <c r="B1" s="1281"/>
      <c r="C1" s="1281"/>
      <c r="D1" s="1281"/>
      <c r="E1" s="1281"/>
      <c r="F1" s="1281"/>
      <c r="G1" s="1281"/>
      <c r="H1" s="1281"/>
      <c r="I1" s="1281"/>
      <c r="J1" s="1281"/>
    </row>
    <row r="2" spans="1:16" ht="15" x14ac:dyDescent="0.25">
      <c r="C2" s="34"/>
      <c r="D2" s="34"/>
      <c r="E2" s="34"/>
      <c r="F2" s="34"/>
      <c r="G2" s="34"/>
      <c r="H2" s="35"/>
      <c r="I2" s="35"/>
      <c r="J2" s="35"/>
      <c r="K2" s="35"/>
    </row>
    <row r="4" spans="1:16" x14ac:dyDescent="0.2">
      <c r="B4" s="1275" t="s">
        <v>18</v>
      </c>
      <c r="C4" s="1277" t="s">
        <v>50</v>
      </c>
      <c r="D4" s="1278"/>
      <c r="E4" s="1279"/>
      <c r="F4" s="1277" t="s">
        <v>10</v>
      </c>
      <c r="G4" s="1278"/>
      <c r="H4" s="1278"/>
      <c r="I4" s="1280" t="s">
        <v>11</v>
      </c>
      <c r="J4" s="1278"/>
      <c r="K4" s="1279"/>
    </row>
    <row r="5" spans="1:16" x14ac:dyDescent="0.2">
      <c r="B5" s="1276"/>
      <c r="C5" s="1167" t="s">
        <v>0</v>
      </c>
      <c r="D5" s="1168" t="s">
        <v>16</v>
      </c>
      <c r="E5" s="1169" t="s">
        <v>17</v>
      </c>
      <c r="F5" s="1170" t="s">
        <v>12</v>
      </c>
      <c r="G5" s="1168" t="s">
        <v>16</v>
      </c>
      <c r="H5" s="1171" t="s">
        <v>17</v>
      </c>
      <c r="I5" s="1172" t="s">
        <v>0</v>
      </c>
      <c r="J5" s="1168" t="s">
        <v>16</v>
      </c>
      <c r="K5" s="1169" t="s">
        <v>17</v>
      </c>
    </row>
    <row r="6" spans="1:16" x14ac:dyDescent="0.2">
      <c r="B6" s="41"/>
      <c r="C6" s="42"/>
      <c r="D6" s="640"/>
      <c r="E6" s="641"/>
      <c r="F6" s="43"/>
      <c r="G6" s="640"/>
      <c r="H6" s="653"/>
      <c r="I6" s="652"/>
      <c r="J6" s="640"/>
      <c r="K6" s="641"/>
      <c r="O6" s="602" t="s">
        <v>8</v>
      </c>
      <c r="P6" s="602" t="s">
        <v>9</v>
      </c>
    </row>
    <row r="7" spans="1:16" x14ac:dyDescent="0.2">
      <c r="B7" s="44">
        <v>1995</v>
      </c>
      <c r="C7" s="1003">
        <f t="shared" ref="C7:C22" si="0">SUM(D7:E7)</f>
        <v>9849.2561280000045</v>
      </c>
      <c r="D7" s="1004">
        <f t="shared" ref="D7:E22" si="1">SUM(G7,J7)</f>
        <v>6430.3848620000044</v>
      </c>
      <c r="E7" s="1005">
        <f t="shared" si="1"/>
        <v>3418.8712659999997</v>
      </c>
      <c r="F7" s="1006">
        <f t="shared" ref="F7:F22" si="2">SUM(G7:H7)</f>
        <v>8673.7080870000045</v>
      </c>
      <c r="G7" s="1004">
        <v>6430.3848620000044</v>
      </c>
      <c r="H7" s="1007">
        <v>2243.3232249999996</v>
      </c>
      <c r="I7" s="1050">
        <f t="shared" ref="I7:I22" si="3">SUM(J7:K7)</f>
        <v>1175.548041</v>
      </c>
      <c r="J7" s="1004"/>
      <c r="K7" s="1005">
        <v>1175.548041</v>
      </c>
      <c r="L7" s="48"/>
      <c r="M7" s="38"/>
    </row>
    <row r="8" spans="1:16" x14ac:dyDescent="0.2">
      <c r="B8" s="49">
        <v>1996</v>
      </c>
      <c r="C8" s="1051">
        <f t="shared" si="0"/>
        <v>10330.839597999991</v>
      </c>
      <c r="D8" s="1052">
        <f t="shared" si="1"/>
        <v>6781.8158419999918</v>
      </c>
      <c r="E8" s="1053">
        <f t="shared" si="1"/>
        <v>3549.0237560000005</v>
      </c>
      <c r="F8" s="1054">
        <f t="shared" si="2"/>
        <v>8770.6107359999914</v>
      </c>
      <c r="G8" s="1052">
        <v>6781.8158419999918</v>
      </c>
      <c r="H8" s="1055">
        <v>1988.7948940000003</v>
      </c>
      <c r="I8" s="1056">
        <f t="shared" si="3"/>
        <v>1560.2288619999999</v>
      </c>
      <c r="J8" s="1052"/>
      <c r="K8" s="1053">
        <v>1560.2288619999999</v>
      </c>
      <c r="L8" s="48"/>
      <c r="M8" s="38"/>
      <c r="N8" s="602">
        <v>1995</v>
      </c>
      <c r="O8" s="603">
        <f t="shared" ref="O8:O29" si="4">D7</f>
        <v>6430.3848620000044</v>
      </c>
      <c r="P8" s="603">
        <f t="shared" ref="P8:P29" si="5">E7</f>
        <v>3418.8712659999997</v>
      </c>
    </row>
    <row r="9" spans="1:16" x14ac:dyDescent="0.2">
      <c r="B9" s="44">
        <v>1997</v>
      </c>
      <c r="C9" s="1003">
        <f t="shared" si="0"/>
        <v>12451.230159999992</v>
      </c>
      <c r="D9" s="1004">
        <f t="shared" si="1"/>
        <v>7291.6494419999917</v>
      </c>
      <c r="E9" s="1005">
        <f t="shared" si="1"/>
        <v>5159.5807179999993</v>
      </c>
      <c r="F9" s="1006">
        <f t="shared" si="2"/>
        <v>9377.8946799999903</v>
      </c>
      <c r="G9" s="1004">
        <v>7291.6494419999917</v>
      </c>
      <c r="H9" s="1007">
        <v>2086.2452379999995</v>
      </c>
      <c r="I9" s="1050">
        <f t="shared" si="3"/>
        <v>3073.3354799999997</v>
      </c>
      <c r="J9" s="1004"/>
      <c r="K9" s="1005">
        <v>3073.3354799999997</v>
      </c>
      <c r="L9" s="48"/>
      <c r="M9" s="50"/>
      <c r="N9" s="602">
        <v>1996</v>
      </c>
      <c r="O9" s="603">
        <f t="shared" si="4"/>
        <v>6781.8158419999918</v>
      </c>
      <c r="P9" s="603">
        <f t="shared" si="5"/>
        <v>3549.0237560000005</v>
      </c>
    </row>
    <row r="10" spans="1:16" x14ac:dyDescent="0.2">
      <c r="B10" s="49">
        <v>1998</v>
      </c>
      <c r="C10" s="1051">
        <f t="shared" si="0"/>
        <v>14008.576822999998</v>
      </c>
      <c r="D10" s="1052">
        <f t="shared" si="1"/>
        <v>7755.838101999997</v>
      </c>
      <c r="E10" s="1053">
        <f t="shared" si="1"/>
        <v>6252.7387210000006</v>
      </c>
      <c r="F10" s="1054">
        <f t="shared" si="2"/>
        <v>9878.6615729999976</v>
      </c>
      <c r="G10" s="1052">
        <v>7755.838101999997</v>
      </c>
      <c r="H10" s="1055">
        <v>2122.8234709999997</v>
      </c>
      <c r="I10" s="1056">
        <f t="shared" si="3"/>
        <v>4129.9152500000009</v>
      </c>
      <c r="J10" s="1052"/>
      <c r="K10" s="1053">
        <v>4129.9152500000009</v>
      </c>
      <c r="L10" s="48"/>
      <c r="M10" s="38"/>
      <c r="N10" s="602">
        <v>1997</v>
      </c>
      <c r="O10" s="603">
        <f t="shared" si="4"/>
        <v>7291.6494419999917</v>
      </c>
      <c r="P10" s="603">
        <f t="shared" si="5"/>
        <v>5159.5807179999993</v>
      </c>
    </row>
    <row r="11" spans="1:16" x14ac:dyDescent="0.2">
      <c r="B11" s="44">
        <v>1999</v>
      </c>
      <c r="C11" s="1003">
        <f t="shared" si="0"/>
        <v>14591.891559000011</v>
      </c>
      <c r="D11" s="1004">
        <f t="shared" si="1"/>
        <v>8071.8733350000111</v>
      </c>
      <c r="E11" s="1005">
        <f t="shared" si="1"/>
        <v>6520.0182239999995</v>
      </c>
      <c r="F11" s="1006">
        <f t="shared" si="2"/>
        <v>10198.891027000011</v>
      </c>
      <c r="G11" s="1004">
        <v>8071.8733350000111</v>
      </c>
      <c r="H11" s="1007">
        <v>2127.0176919999999</v>
      </c>
      <c r="I11" s="1050">
        <f t="shared" si="3"/>
        <v>4393.000532</v>
      </c>
      <c r="J11" s="1004"/>
      <c r="K11" s="1005">
        <v>4393.000532</v>
      </c>
      <c r="L11" s="48"/>
      <c r="M11" s="38"/>
      <c r="N11" s="602">
        <v>1998</v>
      </c>
      <c r="O11" s="603">
        <f t="shared" si="4"/>
        <v>7755.838101999997</v>
      </c>
      <c r="P11" s="603">
        <f t="shared" si="5"/>
        <v>6252.7387210000006</v>
      </c>
    </row>
    <row r="12" spans="1:16" x14ac:dyDescent="0.2">
      <c r="B12" s="49">
        <v>2000</v>
      </c>
      <c r="C12" s="1051">
        <f t="shared" si="0"/>
        <v>15545.595392000014</v>
      </c>
      <c r="D12" s="1052">
        <f t="shared" si="1"/>
        <v>8406.7782800000132</v>
      </c>
      <c r="E12" s="1053">
        <f t="shared" si="1"/>
        <v>7138.8171120000006</v>
      </c>
      <c r="F12" s="1054">
        <f t="shared" si="2"/>
        <v>10763.269271000014</v>
      </c>
      <c r="G12" s="1052">
        <v>8406.7782800000132</v>
      </c>
      <c r="H12" s="1055">
        <v>2356.4909910000001</v>
      </c>
      <c r="I12" s="1056">
        <f t="shared" si="3"/>
        <v>4782.3261210000001</v>
      </c>
      <c r="J12" s="1057"/>
      <c r="K12" s="1053">
        <v>4782.3261210000001</v>
      </c>
      <c r="L12" s="48"/>
      <c r="M12" s="38"/>
      <c r="N12" s="602">
        <v>1999</v>
      </c>
      <c r="O12" s="603">
        <f t="shared" si="4"/>
        <v>8071.8733350000111</v>
      </c>
      <c r="P12" s="603">
        <f t="shared" si="5"/>
        <v>6520.0182239999995</v>
      </c>
    </row>
    <row r="13" spans="1:16" x14ac:dyDescent="0.2">
      <c r="B13" s="44">
        <v>2001</v>
      </c>
      <c r="C13" s="1003">
        <f t="shared" si="0"/>
        <v>16628.754544999989</v>
      </c>
      <c r="D13" s="1004">
        <f t="shared" si="1"/>
        <v>8654.8532329999871</v>
      </c>
      <c r="E13" s="1005">
        <f t="shared" si="1"/>
        <v>7973.901312</v>
      </c>
      <c r="F13" s="1006">
        <f t="shared" si="2"/>
        <v>10522.374724999987</v>
      </c>
      <c r="G13" s="1004">
        <v>8654.8532329999871</v>
      </c>
      <c r="H13" s="1007">
        <v>1867.5214919999999</v>
      </c>
      <c r="I13" s="1050">
        <f t="shared" si="3"/>
        <v>6106.3798200000001</v>
      </c>
      <c r="J13" s="1058"/>
      <c r="K13" s="1005">
        <v>6106.3798200000001</v>
      </c>
      <c r="L13" s="48"/>
      <c r="M13" s="38"/>
      <c r="N13" s="602">
        <v>2000</v>
      </c>
      <c r="O13" s="603">
        <f t="shared" si="4"/>
        <v>8406.7782800000132</v>
      </c>
      <c r="P13" s="603">
        <f t="shared" si="5"/>
        <v>7138.8171120000006</v>
      </c>
    </row>
    <row r="14" spans="1:16" x14ac:dyDescent="0.2">
      <c r="B14" s="49">
        <v>2002</v>
      </c>
      <c r="C14" s="1051">
        <f t="shared" si="0"/>
        <v>17605.325913847999</v>
      </c>
      <c r="D14" s="1052">
        <f t="shared" si="1"/>
        <v>9221.8888070000012</v>
      </c>
      <c r="E14" s="1053">
        <f t="shared" si="1"/>
        <v>8383.4371068479995</v>
      </c>
      <c r="F14" s="1054">
        <f t="shared" si="2"/>
        <v>11113.547163000001</v>
      </c>
      <c r="G14" s="1052">
        <v>9221.8888070000012</v>
      </c>
      <c r="H14" s="1055">
        <v>1891.6583559999997</v>
      </c>
      <c r="I14" s="1056">
        <f t="shared" si="3"/>
        <v>6491.7787508479996</v>
      </c>
      <c r="J14" s="1057"/>
      <c r="K14" s="1053">
        <v>6491.7787508479996</v>
      </c>
      <c r="L14" s="48"/>
      <c r="N14" s="602">
        <v>2001</v>
      </c>
      <c r="O14" s="603">
        <f t="shared" si="4"/>
        <v>8654.8532329999871</v>
      </c>
      <c r="P14" s="603">
        <f t="shared" si="5"/>
        <v>7973.901312</v>
      </c>
    </row>
    <row r="15" spans="1:16" x14ac:dyDescent="0.2">
      <c r="B15" s="44">
        <v>2003</v>
      </c>
      <c r="C15" s="1003">
        <f>SUM(D15:E15)</f>
        <v>18375.33541</v>
      </c>
      <c r="D15" s="1004">
        <f t="shared" si="1"/>
        <v>9610.7902890000005</v>
      </c>
      <c r="E15" s="1005">
        <f t="shared" si="1"/>
        <v>8764.545121000001</v>
      </c>
      <c r="F15" s="1006">
        <f t="shared" si="2"/>
        <v>11303.613573000001</v>
      </c>
      <c r="G15" s="1004">
        <v>9610.7902890000005</v>
      </c>
      <c r="H15" s="1007">
        <v>1692.8232840000001</v>
      </c>
      <c r="I15" s="1050">
        <f>SUM(J15:K15)</f>
        <v>7071.721837000001</v>
      </c>
      <c r="J15" s="1058"/>
      <c r="K15" s="1005">
        <v>7071.721837000001</v>
      </c>
      <c r="L15" s="51"/>
      <c r="N15" s="604">
        <v>2002</v>
      </c>
      <c r="O15" s="603">
        <f t="shared" si="4"/>
        <v>9221.8888070000012</v>
      </c>
      <c r="P15" s="603">
        <f t="shared" si="5"/>
        <v>8383.4371068479995</v>
      </c>
    </row>
    <row r="16" spans="1:16" x14ac:dyDescent="0.2">
      <c r="B16" s="49">
        <v>2004</v>
      </c>
      <c r="C16" s="1051">
        <f t="shared" si="0"/>
        <v>19640.651109999999</v>
      </c>
      <c r="D16" s="1052">
        <f t="shared" si="1"/>
        <v>10352.511363000001</v>
      </c>
      <c r="E16" s="1053">
        <f t="shared" si="1"/>
        <v>9288.1397469999993</v>
      </c>
      <c r="F16" s="1054">
        <f t="shared" si="2"/>
        <v>12001.305316000002</v>
      </c>
      <c r="G16" s="1052">
        <v>10352.511363000001</v>
      </c>
      <c r="H16" s="1055">
        <v>1648.7939530000001</v>
      </c>
      <c r="I16" s="1056">
        <f t="shared" si="3"/>
        <v>7639.3457939999998</v>
      </c>
      <c r="J16" s="1057"/>
      <c r="K16" s="1053">
        <v>7639.3457939999998</v>
      </c>
      <c r="L16" s="48"/>
      <c r="N16" s="602">
        <v>2003</v>
      </c>
      <c r="O16" s="603">
        <f t="shared" si="4"/>
        <v>9610.7902890000005</v>
      </c>
      <c r="P16" s="603">
        <f t="shared" si="5"/>
        <v>8764.545121000001</v>
      </c>
    </row>
    <row r="17" spans="2:16" x14ac:dyDescent="0.2">
      <c r="B17" s="44">
        <v>2005</v>
      </c>
      <c r="C17" s="1003">
        <f t="shared" si="0"/>
        <v>20701.382880222223</v>
      </c>
      <c r="D17" s="1004">
        <f t="shared" si="1"/>
        <v>11150.106846222223</v>
      </c>
      <c r="E17" s="1005">
        <f t="shared" si="1"/>
        <v>9551.2760340000004</v>
      </c>
      <c r="F17" s="1006">
        <f t="shared" si="2"/>
        <v>12914.287800222222</v>
      </c>
      <c r="G17" s="1004">
        <v>11150.106846222223</v>
      </c>
      <c r="H17" s="1007">
        <v>1764.1809539999999</v>
      </c>
      <c r="I17" s="1050">
        <f t="shared" si="3"/>
        <v>7787.095080000001</v>
      </c>
      <c r="J17" s="1058"/>
      <c r="K17" s="1005">
        <v>7787.095080000001</v>
      </c>
      <c r="L17" s="48"/>
      <c r="N17" s="604">
        <v>2004</v>
      </c>
      <c r="O17" s="603">
        <f t="shared" si="4"/>
        <v>10352.511363000001</v>
      </c>
      <c r="P17" s="603">
        <f t="shared" si="5"/>
        <v>9288.1397469999993</v>
      </c>
    </row>
    <row r="18" spans="2:16" x14ac:dyDescent="0.2">
      <c r="B18" s="49">
        <v>2006</v>
      </c>
      <c r="C18" s="1051">
        <f t="shared" si="0"/>
        <v>22290.061152999995</v>
      </c>
      <c r="D18" s="1052">
        <f>SUM(G18,J18)</f>
        <v>12169.514937999998</v>
      </c>
      <c r="E18" s="1053">
        <f>SUM(H18,K18)</f>
        <v>10120.546214999998</v>
      </c>
      <c r="F18" s="1054">
        <f t="shared" si="2"/>
        <v>14043.638326999999</v>
      </c>
      <c r="G18" s="1052">
        <v>12169.514937999998</v>
      </c>
      <c r="H18" s="1055">
        <v>1874.1233889999999</v>
      </c>
      <c r="I18" s="1056">
        <f t="shared" si="3"/>
        <v>8246.4228259999982</v>
      </c>
      <c r="J18" s="1057"/>
      <c r="K18" s="1053">
        <v>8246.4228259999982</v>
      </c>
      <c r="L18" s="48"/>
      <c r="N18" s="602">
        <v>2005</v>
      </c>
      <c r="O18" s="603">
        <f t="shared" si="4"/>
        <v>11150.106846222223</v>
      </c>
      <c r="P18" s="603">
        <f t="shared" si="5"/>
        <v>9551.2760340000004</v>
      </c>
    </row>
    <row r="19" spans="2:16" x14ac:dyDescent="0.2">
      <c r="B19" s="44">
        <v>2007</v>
      </c>
      <c r="C19" s="1003">
        <f t="shared" si="0"/>
        <v>24721.748553000001</v>
      </c>
      <c r="D19" s="1004">
        <f t="shared" si="1"/>
        <v>13346.184469</v>
      </c>
      <c r="E19" s="1005">
        <f t="shared" si="1"/>
        <v>11375.564084000001</v>
      </c>
      <c r="F19" s="1050">
        <f t="shared" si="2"/>
        <v>15032.180855000001</v>
      </c>
      <c r="G19" s="1004">
        <v>13346.184469</v>
      </c>
      <c r="H19" s="1007">
        <v>1685.996386</v>
      </c>
      <c r="I19" s="1050">
        <f t="shared" si="3"/>
        <v>9689.5676980000007</v>
      </c>
      <c r="J19" s="1058"/>
      <c r="K19" s="1005">
        <v>9689.5676980000007</v>
      </c>
      <c r="L19" s="48"/>
      <c r="N19" s="604">
        <v>2006</v>
      </c>
      <c r="O19" s="603">
        <f t="shared" si="4"/>
        <v>12169.514937999998</v>
      </c>
      <c r="P19" s="603">
        <f t="shared" si="5"/>
        <v>10120.546214999998</v>
      </c>
    </row>
    <row r="20" spans="2:16" x14ac:dyDescent="0.2">
      <c r="B20" s="49">
        <v>2008</v>
      </c>
      <c r="C20" s="1051">
        <f t="shared" si="0"/>
        <v>26964.414596000002</v>
      </c>
      <c r="D20" s="1052">
        <f t="shared" si="1"/>
        <v>14569.444074000001</v>
      </c>
      <c r="E20" s="1053">
        <f t="shared" si="1"/>
        <v>12394.970522</v>
      </c>
      <c r="F20" s="1056">
        <f t="shared" si="2"/>
        <v>16297.176545</v>
      </c>
      <c r="G20" s="1052">
        <v>14569.444074000001</v>
      </c>
      <c r="H20" s="1055">
        <v>1727.732471</v>
      </c>
      <c r="I20" s="1056">
        <f t="shared" si="3"/>
        <v>10667.238051</v>
      </c>
      <c r="J20" s="1057"/>
      <c r="K20" s="1053">
        <v>10667.238051</v>
      </c>
      <c r="L20" s="48"/>
      <c r="N20" s="604">
        <v>2007</v>
      </c>
      <c r="O20" s="603">
        <f t="shared" si="4"/>
        <v>13346.184469</v>
      </c>
      <c r="P20" s="603">
        <f t="shared" si="5"/>
        <v>11375.564084000001</v>
      </c>
    </row>
    <row r="21" spans="2:16" x14ac:dyDescent="0.2">
      <c r="B21" s="44">
        <v>2009</v>
      </c>
      <c r="C21" s="1003">
        <f t="shared" si="0"/>
        <v>27087.005776999995</v>
      </c>
      <c r="D21" s="1004">
        <f t="shared" si="1"/>
        <v>15204.704771999996</v>
      </c>
      <c r="E21" s="1005">
        <f t="shared" si="1"/>
        <v>11882.301004999999</v>
      </c>
      <c r="F21" s="1050">
        <f t="shared" si="2"/>
        <v>17000.664144999995</v>
      </c>
      <c r="G21" s="1004">
        <v>15204.704771999996</v>
      </c>
      <c r="H21" s="1007">
        <v>1795.9593729999997</v>
      </c>
      <c r="I21" s="1050">
        <f t="shared" si="3"/>
        <v>10086.341632</v>
      </c>
      <c r="J21" s="1058"/>
      <c r="K21" s="1005">
        <v>10086.341632</v>
      </c>
      <c r="L21" s="48"/>
      <c r="N21" s="604">
        <v>2008</v>
      </c>
      <c r="O21" s="603">
        <f t="shared" si="4"/>
        <v>14569.444074000001</v>
      </c>
      <c r="P21" s="603">
        <f t="shared" si="5"/>
        <v>12394.970522</v>
      </c>
    </row>
    <row r="22" spans="2:16" x14ac:dyDescent="0.2">
      <c r="B22" s="49">
        <v>2010</v>
      </c>
      <c r="C22" s="1051">
        <f t="shared" si="0"/>
        <v>29436.175124000001</v>
      </c>
      <c r="D22" s="1052">
        <f t="shared" si="1"/>
        <v>16430.850569000002</v>
      </c>
      <c r="E22" s="1053">
        <f t="shared" si="1"/>
        <v>13005.324554999999</v>
      </c>
      <c r="F22" s="1056">
        <f t="shared" si="2"/>
        <v>18195.325098000001</v>
      </c>
      <c r="G22" s="1052">
        <v>16430.850569000002</v>
      </c>
      <c r="H22" s="1055">
        <v>1764.4745290000001</v>
      </c>
      <c r="I22" s="1056">
        <f t="shared" si="3"/>
        <v>11240.850026</v>
      </c>
      <c r="J22" s="1057"/>
      <c r="K22" s="1053">
        <v>11240.850026</v>
      </c>
      <c r="L22" s="48"/>
      <c r="N22" s="604">
        <v>2009</v>
      </c>
      <c r="O22" s="603">
        <f t="shared" si="4"/>
        <v>15204.704771999996</v>
      </c>
      <c r="P22" s="603">
        <f t="shared" si="5"/>
        <v>11882.301004999999</v>
      </c>
    </row>
    <row r="23" spans="2:16" x14ac:dyDescent="0.2">
      <c r="B23" s="44">
        <v>2011</v>
      </c>
      <c r="C23" s="1003">
        <f t="shared" ref="C23:C29" si="6">SUM(D23:E23)</f>
        <v>31820.350805251099</v>
      </c>
      <c r="D23" s="1004">
        <f t="shared" ref="D23:E25" si="7">SUM(G23,J23)</f>
        <v>17891.5565232511</v>
      </c>
      <c r="E23" s="1005">
        <f t="shared" si="7"/>
        <v>13928.794281999999</v>
      </c>
      <c r="F23" s="1050">
        <f t="shared" ref="F23:F31" si="8">SUM(G23:H23)</f>
        <v>19753.040698251101</v>
      </c>
      <c r="G23" s="1004">
        <v>17891.5565232511</v>
      </c>
      <c r="H23" s="1007">
        <v>1861.4841750000001</v>
      </c>
      <c r="I23" s="1050">
        <f t="shared" ref="I23:I31" si="9">SUM(J23:K23)</f>
        <v>12067.310106999999</v>
      </c>
      <c r="J23" s="1058"/>
      <c r="K23" s="1005">
        <v>12067.310106999999</v>
      </c>
      <c r="L23" s="48"/>
      <c r="N23" s="604">
        <v>2010</v>
      </c>
      <c r="O23" s="603">
        <f t="shared" si="4"/>
        <v>16430.850569000002</v>
      </c>
      <c r="P23" s="603">
        <f t="shared" si="5"/>
        <v>13005.324554999999</v>
      </c>
    </row>
    <row r="24" spans="2:16" x14ac:dyDescent="0.2">
      <c r="B24" s="333">
        <v>2012</v>
      </c>
      <c r="C24" s="1059">
        <f t="shared" si="6"/>
        <v>33648.185935000001</v>
      </c>
      <c r="D24" s="1060">
        <f t="shared" si="7"/>
        <v>18962.169935999998</v>
      </c>
      <c r="E24" s="1061">
        <f t="shared" si="7"/>
        <v>14686.015998999999</v>
      </c>
      <c r="F24" s="1062">
        <f t="shared" si="8"/>
        <v>20947.295381</v>
      </c>
      <c r="G24" s="1060">
        <v>18962.169935999998</v>
      </c>
      <c r="H24" s="1063">
        <v>1985.1254449999999</v>
      </c>
      <c r="I24" s="1062">
        <f t="shared" si="9"/>
        <v>12700.890554</v>
      </c>
      <c r="J24" s="1064"/>
      <c r="K24" s="1061">
        <v>12700.890554</v>
      </c>
      <c r="L24" s="48"/>
      <c r="N24" s="604">
        <v>2011</v>
      </c>
      <c r="O24" s="603">
        <f t="shared" si="4"/>
        <v>17891.5565232511</v>
      </c>
      <c r="P24" s="603">
        <f t="shared" si="5"/>
        <v>13928.794281999999</v>
      </c>
    </row>
    <row r="25" spans="2:16" x14ac:dyDescent="0.2">
      <c r="B25" s="44">
        <v>2013</v>
      </c>
      <c r="C25" s="1003">
        <f t="shared" si="6"/>
        <v>35609.652699999999</v>
      </c>
      <c r="D25" s="1004">
        <f t="shared" si="7"/>
        <v>19881.575264999999</v>
      </c>
      <c r="E25" s="1005">
        <f t="shared" si="7"/>
        <v>15728.077434999999</v>
      </c>
      <c r="F25" s="1050">
        <f t="shared" si="8"/>
        <v>21935.480477000001</v>
      </c>
      <c r="G25" s="1004">
        <v>19881.575264999999</v>
      </c>
      <c r="H25" s="1007">
        <v>2053.9052120000001</v>
      </c>
      <c r="I25" s="1050">
        <f t="shared" si="9"/>
        <v>13674.172223</v>
      </c>
      <c r="J25" s="1058"/>
      <c r="K25" s="1005">
        <v>13674.172223</v>
      </c>
      <c r="L25" s="48"/>
      <c r="N25" s="604">
        <v>2012</v>
      </c>
      <c r="O25" s="603">
        <f t="shared" si="4"/>
        <v>18962.169935999998</v>
      </c>
      <c r="P25" s="603">
        <f t="shared" si="5"/>
        <v>14686.015998999999</v>
      </c>
    </row>
    <row r="26" spans="2:16" x14ac:dyDescent="0.2">
      <c r="B26" s="333">
        <v>2014</v>
      </c>
      <c r="C26" s="1059">
        <f t="shared" si="6"/>
        <v>37327.776994197113</v>
      </c>
      <c r="D26" s="1060">
        <f t="shared" ref="D26:E28" si="10">SUM(G26,J26)</f>
        <v>20763.971397291498</v>
      </c>
      <c r="E26" s="1061">
        <f t="shared" si="10"/>
        <v>16563.805596905615</v>
      </c>
      <c r="F26" s="1062">
        <f t="shared" si="8"/>
        <v>22781.971993397114</v>
      </c>
      <c r="G26" s="1060">
        <v>20763.971397291498</v>
      </c>
      <c r="H26" s="1063">
        <v>2018.000596105617</v>
      </c>
      <c r="I26" s="1062">
        <f t="shared" si="9"/>
        <v>14545.805000799999</v>
      </c>
      <c r="J26" s="1064"/>
      <c r="K26" s="1061">
        <v>14545.805000799999</v>
      </c>
      <c r="L26" s="48"/>
      <c r="N26" s="604">
        <v>2013</v>
      </c>
      <c r="O26" s="603">
        <f t="shared" si="4"/>
        <v>19881.575264999999</v>
      </c>
      <c r="P26" s="603">
        <f t="shared" si="5"/>
        <v>15728.077434999999</v>
      </c>
    </row>
    <row r="27" spans="2:16" x14ac:dyDescent="0.2">
      <c r="B27" s="44">
        <v>2015</v>
      </c>
      <c r="C27" s="1003">
        <f t="shared" si="6"/>
        <v>39774.744600000005</v>
      </c>
      <c r="D27" s="1004">
        <f t="shared" si="10"/>
        <v>21493.034900000002</v>
      </c>
      <c r="E27" s="1005">
        <f t="shared" si="10"/>
        <v>18281.709699999999</v>
      </c>
      <c r="F27" s="1050">
        <f t="shared" si="8"/>
        <v>23494.010900000001</v>
      </c>
      <c r="G27" s="1004">
        <v>21493.034900000002</v>
      </c>
      <c r="H27" s="1007">
        <v>2000.9760000000001</v>
      </c>
      <c r="I27" s="1050">
        <f t="shared" si="9"/>
        <v>16280.733700000001</v>
      </c>
      <c r="J27" s="1058"/>
      <c r="K27" s="1005">
        <v>16280.733700000001</v>
      </c>
      <c r="L27" s="48"/>
      <c r="N27" s="604">
        <v>2014</v>
      </c>
      <c r="O27" s="603">
        <f t="shared" si="4"/>
        <v>20763.971397291498</v>
      </c>
      <c r="P27" s="603">
        <f t="shared" si="5"/>
        <v>16563.805596905615</v>
      </c>
    </row>
    <row r="28" spans="2:16" x14ac:dyDescent="0.2">
      <c r="B28" s="333">
        <v>2016</v>
      </c>
      <c r="C28" s="1059">
        <f t="shared" si="6"/>
        <v>43366.999110700039</v>
      </c>
      <c r="D28" s="1060">
        <f t="shared" si="10"/>
        <v>20865.202581000038</v>
      </c>
      <c r="E28" s="1061">
        <f t="shared" si="10"/>
        <v>22501.796529700005</v>
      </c>
      <c r="F28" s="1062">
        <f t="shared" si="8"/>
        <v>22886.332354000038</v>
      </c>
      <c r="G28" s="1060">
        <v>20865.202581000038</v>
      </c>
      <c r="H28" s="1063">
        <v>2021.1297730000003</v>
      </c>
      <c r="I28" s="1062">
        <f t="shared" si="9"/>
        <v>20480.666756700004</v>
      </c>
      <c r="J28" s="1064"/>
      <c r="K28" s="1061">
        <v>20480.666756700004</v>
      </c>
      <c r="L28" s="48"/>
      <c r="N28" s="604">
        <v>2015</v>
      </c>
      <c r="O28" s="603">
        <f t="shared" si="4"/>
        <v>21493.034900000002</v>
      </c>
      <c r="P28" s="603">
        <f t="shared" si="5"/>
        <v>18281.709699999999</v>
      </c>
    </row>
    <row r="29" spans="2:16" x14ac:dyDescent="0.2">
      <c r="B29" s="827">
        <v>2017</v>
      </c>
      <c r="C29" s="1065">
        <f t="shared" si="6"/>
        <v>44223.25281726996</v>
      </c>
      <c r="D29" s="1066">
        <f>SUM(G29,J29)</f>
        <v>19466.014226119965</v>
      </c>
      <c r="E29" s="1067">
        <f>SUM(H29,K29)</f>
        <v>24757.238591149995</v>
      </c>
      <c r="F29" s="1068">
        <f t="shared" si="8"/>
        <v>22399.543247369966</v>
      </c>
      <c r="G29" s="1066">
        <v>19466.014226119965</v>
      </c>
      <c r="H29" s="1069">
        <v>2933.5290212499995</v>
      </c>
      <c r="I29" s="1068">
        <f t="shared" si="9"/>
        <v>21823.709569899995</v>
      </c>
      <c r="J29" s="1070"/>
      <c r="K29" s="1067">
        <v>21823.709569899995</v>
      </c>
      <c r="L29" s="48"/>
      <c r="N29" s="604">
        <v>2016</v>
      </c>
      <c r="O29" s="603">
        <f t="shared" si="4"/>
        <v>20865.202581000038</v>
      </c>
      <c r="P29" s="603">
        <f t="shared" si="5"/>
        <v>22501.796529700005</v>
      </c>
    </row>
    <row r="30" spans="2:16" x14ac:dyDescent="0.2">
      <c r="B30" s="333">
        <v>2018</v>
      </c>
      <c r="C30" s="1059">
        <f>SUM(D30:E30)</f>
        <v>45867.787842190068</v>
      </c>
      <c r="D30" s="1060">
        <f>SUM(G30,J30)</f>
        <v>19149.967832780123</v>
      </c>
      <c r="E30" s="1061">
        <f>SUM(H30,K30)</f>
        <v>26717.820009409941</v>
      </c>
      <c r="F30" s="1062">
        <f>SUM(G30:H30)</f>
        <v>22073.874790390117</v>
      </c>
      <c r="G30" s="1060">
        <v>19149.967832780123</v>
      </c>
      <c r="H30" s="1063">
        <v>2923.9069576099951</v>
      </c>
      <c r="I30" s="1062">
        <f>SUM(J30:K30)</f>
        <v>23793.913051799947</v>
      </c>
      <c r="J30" s="1064"/>
      <c r="K30" s="1061">
        <v>23793.913051799947</v>
      </c>
      <c r="L30" s="48"/>
      <c r="N30" s="604">
        <v>2016</v>
      </c>
      <c r="O30" s="603">
        <f>D29</f>
        <v>19466.014226119965</v>
      </c>
      <c r="P30" s="603">
        <f>E29</f>
        <v>24757.238591149995</v>
      </c>
    </row>
    <row r="31" spans="2:16" x14ac:dyDescent="0.2">
      <c r="B31" s="827">
        <v>2019</v>
      </c>
      <c r="C31" s="1065">
        <f>SUM(D31:E31)</f>
        <v>47420.737911999997</v>
      </c>
      <c r="D31" s="1066">
        <v>19137.950690000001</v>
      </c>
      <c r="E31" s="1067">
        <v>28282.787221999999</v>
      </c>
      <c r="F31" s="1068">
        <f t="shared" si="8"/>
        <v>22355.024662000003</v>
      </c>
      <c r="G31" s="1066">
        <v>19137.950690000001</v>
      </c>
      <c r="H31" s="1069">
        <v>3217.0739720000001</v>
      </c>
      <c r="I31" s="1068">
        <f t="shared" si="9"/>
        <v>25065.713250000001</v>
      </c>
      <c r="J31" s="1070"/>
      <c r="K31" s="1067">
        <v>25065.713250000001</v>
      </c>
      <c r="L31" s="48"/>
      <c r="N31" s="604">
        <v>2017</v>
      </c>
      <c r="O31" s="603">
        <f t="shared" ref="O31:P33" si="11">D29</f>
        <v>19466.014226119965</v>
      </c>
      <c r="P31" s="603">
        <f t="shared" si="11"/>
        <v>24757.238591149995</v>
      </c>
    </row>
    <row r="32" spans="2:16" ht="13.5" thickBot="1" x14ac:dyDescent="0.25">
      <c r="B32" s="49"/>
      <c r="C32" s="1051"/>
      <c r="D32" s="1052"/>
      <c r="E32" s="1053"/>
      <c r="F32" s="1056"/>
      <c r="G32" s="1052"/>
      <c r="H32" s="1055"/>
      <c r="I32" s="1056"/>
      <c r="J32" s="1071"/>
      <c r="K32" s="1053"/>
      <c r="L32" s="48"/>
      <c r="N32" s="604">
        <v>2018</v>
      </c>
      <c r="O32" s="603">
        <f t="shared" si="11"/>
        <v>19149.967832780123</v>
      </c>
      <c r="P32" s="603">
        <f t="shared" si="11"/>
        <v>26717.820009409941</v>
      </c>
    </row>
    <row r="33" spans="2:16" ht="12.75" customHeight="1" x14ac:dyDescent="0.2">
      <c r="B33" s="55" t="s">
        <v>356</v>
      </c>
      <c r="C33" s="1029">
        <f>(C31/C30)-1</f>
        <v>3.3857095422890504E-2</v>
      </c>
      <c r="D33" s="1028">
        <f t="shared" ref="D33:E33" si="12">(D31/D30)-1</f>
        <v>-6.2752809221700012E-4</v>
      </c>
      <c r="E33" s="1030">
        <f t="shared" si="12"/>
        <v>5.8573911046592819E-2</v>
      </c>
      <c r="F33" s="1029">
        <f>(F31/F30)-1</f>
        <v>1.2736770244446971E-2</v>
      </c>
      <c r="G33" s="1028">
        <f t="shared" ref="G33:H33" si="13">(G31/G30)-1</f>
        <v>-6.2752809221700012E-4</v>
      </c>
      <c r="H33" s="1030">
        <f t="shared" si="13"/>
        <v>0.10026550729563577</v>
      </c>
      <c r="I33" s="760">
        <f>(I31/I30)-1</f>
        <v>5.3450653342781873E-2</v>
      </c>
      <c r="J33" s="1031"/>
      <c r="K33" s="1032">
        <f>(K31/K30)-1</f>
        <v>5.3450653342781873E-2</v>
      </c>
      <c r="M33" s="52"/>
      <c r="N33" s="604">
        <v>2019</v>
      </c>
      <c r="O33" s="603">
        <f t="shared" si="11"/>
        <v>19137.950690000001</v>
      </c>
      <c r="P33" s="603">
        <f t="shared" si="11"/>
        <v>28282.787221999999</v>
      </c>
    </row>
    <row r="34" spans="2:16" ht="12.75" customHeight="1" x14ac:dyDescent="0.2">
      <c r="B34" s="269" t="s">
        <v>357</v>
      </c>
      <c r="C34" s="1034">
        <f>((C31/C26)^(1/5))-1</f>
        <v>4.9028376590160905E-2</v>
      </c>
      <c r="D34" s="1033">
        <f t="shared" ref="D34:E34" si="14">((D31/D26)^(1/5))-1</f>
        <v>-1.6176930906477538E-2</v>
      </c>
      <c r="E34" s="1035">
        <f t="shared" si="14"/>
        <v>0.11294170339592857</v>
      </c>
      <c r="F34" s="1034">
        <f>((F31/F26)^(1/5))-1</f>
        <v>-3.776532548650624E-3</v>
      </c>
      <c r="G34" s="1033">
        <f t="shared" ref="G34:H34" si="15">((G31/G26)^(1/5))-1</f>
        <v>-1.6176930906477538E-2</v>
      </c>
      <c r="H34" s="1035">
        <f t="shared" si="15"/>
        <v>9.7761388658178738E-2</v>
      </c>
      <c r="I34" s="762">
        <f>((I31/I26)^(1/5))-1</f>
        <v>0.11498355293790419</v>
      </c>
      <c r="J34" s="1036"/>
      <c r="K34" s="1037">
        <f>((K31/K26)^(1/5))-1</f>
        <v>0.11498355293790419</v>
      </c>
    </row>
    <row r="35" spans="2:16" ht="12.75" customHeight="1" x14ac:dyDescent="0.2">
      <c r="B35" s="270" t="s">
        <v>358</v>
      </c>
      <c r="C35" s="1039">
        <f>(C31/C21)-1</f>
        <v>0.75068216481371652</v>
      </c>
      <c r="D35" s="1038">
        <f t="shared" ref="D35:E35" si="16">(D31/D21)-1</f>
        <v>0.25868610913401091</v>
      </c>
      <c r="E35" s="1040">
        <f t="shared" si="16"/>
        <v>1.3802449719207397</v>
      </c>
      <c r="F35" s="1039">
        <f>(F31/F21)-1</f>
        <v>0.3149500790870432</v>
      </c>
      <c r="G35" s="1038">
        <f t="shared" ref="G35:H35" si="17">(G31/G21)-1</f>
        <v>0.25868610913401091</v>
      </c>
      <c r="H35" s="1040">
        <f t="shared" si="17"/>
        <v>0.79128438001698642</v>
      </c>
      <c r="I35" s="1041">
        <f>(I31/I21)-1</f>
        <v>1.4851144413427697</v>
      </c>
      <c r="J35" s="1042"/>
      <c r="K35" s="1043">
        <f>(K31/K21)-1</f>
        <v>1.4851144413427697</v>
      </c>
    </row>
    <row r="36" spans="2:16" ht="12.75" customHeight="1" thickBot="1" x14ac:dyDescent="0.25">
      <c r="B36" s="271" t="s">
        <v>359</v>
      </c>
      <c r="C36" s="1045">
        <f>((C31/C21)^(1/10))-1</f>
        <v>5.7598267577738005E-2</v>
      </c>
      <c r="D36" s="1044">
        <f t="shared" ref="D36:E36" si="18">((D31/D21)^(1/10))-1</f>
        <v>2.3273539366251761E-2</v>
      </c>
      <c r="E36" s="1046">
        <f t="shared" si="18"/>
        <v>9.0591643491289675E-2</v>
      </c>
      <c r="F36" s="1045">
        <f>((F31/F21)^(1/10))-1</f>
        <v>2.7758143335303131E-2</v>
      </c>
      <c r="G36" s="1044">
        <f t="shared" ref="G36:H36" si="19">((G31/G21)^(1/10))-1</f>
        <v>2.3273539366251761E-2</v>
      </c>
      <c r="H36" s="1046">
        <f t="shared" si="19"/>
        <v>6.0025844391991434E-2</v>
      </c>
      <c r="I36" s="1047">
        <f>((I31/I21)^(1/10))-1</f>
        <v>9.5303913280239794E-2</v>
      </c>
      <c r="J36" s="1048"/>
      <c r="K36" s="1049">
        <f>((K31/K21)^(1/10))-1</f>
        <v>9.5303913280239794E-2</v>
      </c>
    </row>
    <row r="37" spans="2:16" x14ac:dyDescent="0.2">
      <c r="B37" s="36"/>
      <c r="C37" s="39"/>
    </row>
    <row r="38" spans="2:16" x14ac:dyDescent="0.2">
      <c r="B38" s="37"/>
      <c r="C38" s="53"/>
    </row>
    <row r="39" spans="2:16" x14ac:dyDescent="0.2">
      <c r="B39" s="54"/>
    </row>
    <row r="40" spans="2:16" x14ac:dyDescent="0.2">
      <c r="O40" s="602" t="s">
        <v>10</v>
      </c>
      <c r="P40" s="602" t="s">
        <v>11</v>
      </c>
    </row>
    <row r="41" spans="2:16" x14ac:dyDescent="0.2">
      <c r="O41" s="603"/>
      <c r="P41" s="603"/>
    </row>
    <row r="42" spans="2:16" x14ac:dyDescent="0.2">
      <c r="O42" s="603"/>
      <c r="P42" s="603"/>
    </row>
    <row r="43" spans="2:16" x14ac:dyDescent="0.2">
      <c r="N43" s="602">
        <v>1995</v>
      </c>
      <c r="O43" s="603">
        <f t="shared" ref="O43:O59" si="20">F7</f>
        <v>8673.7080870000045</v>
      </c>
      <c r="P43" s="603">
        <f t="shared" ref="P43:P59" si="21">I7</f>
        <v>1175.548041</v>
      </c>
    </row>
    <row r="44" spans="2:16" x14ac:dyDescent="0.2">
      <c r="N44" s="602">
        <v>1996</v>
      </c>
      <c r="O44" s="603">
        <f t="shared" si="20"/>
        <v>8770.6107359999914</v>
      </c>
      <c r="P44" s="603">
        <f t="shared" si="21"/>
        <v>1560.2288619999999</v>
      </c>
    </row>
    <row r="45" spans="2:16" x14ac:dyDescent="0.2">
      <c r="N45" s="602">
        <v>1997</v>
      </c>
      <c r="O45" s="603">
        <f t="shared" si="20"/>
        <v>9377.8946799999903</v>
      </c>
      <c r="P45" s="603">
        <f t="shared" si="21"/>
        <v>3073.3354799999997</v>
      </c>
    </row>
    <row r="46" spans="2:16" x14ac:dyDescent="0.2">
      <c r="N46" s="602">
        <v>1998</v>
      </c>
      <c r="O46" s="603">
        <f t="shared" si="20"/>
        <v>9878.6615729999976</v>
      </c>
      <c r="P46" s="603">
        <f t="shared" si="21"/>
        <v>4129.9152500000009</v>
      </c>
    </row>
    <row r="47" spans="2:16" x14ac:dyDescent="0.2">
      <c r="N47" s="602">
        <v>1999</v>
      </c>
      <c r="O47" s="603">
        <f t="shared" si="20"/>
        <v>10198.891027000011</v>
      </c>
      <c r="P47" s="603">
        <f t="shared" si="21"/>
        <v>4393.000532</v>
      </c>
    </row>
    <row r="48" spans="2:16" x14ac:dyDescent="0.2">
      <c r="N48" s="602">
        <v>2000</v>
      </c>
      <c r="O48" s="603">
        <f t="shared" si="20"/>
        <v>10763.269271000014</v>
      </c>
      <c r="P48" s="603">
        <f t="shared" si="21"/>
        <v>4782.3261210000001</v>
      </c>
    </row>
    <row r="49" spans="14:16" x14ac:dyDescent="0.2">
      <c r="N49" s="602">
        <v>2001</v>
      </c>
      <c r="O49" s="603">
        <f t="shared" si="20"/>
        <v>10522.374724999987</v>
      </c>
      <c r="P49" s="603">
        <f t="shared" si="21"/>
        <v>6106.3798200000001</v>
      </c>
    </row>
    <row r="50" spans="14:16" x14ac:dyDescent="0.2">
      <c r="N50" s="604">
        <v>2002</v>
      </c>
      <c r="O50" s="603">
        <f t="shared" si="20"/>
        <v>11113.547163000001</v>
      </c>
      <c r="P50" s="603">
        <f t="shared" si="21"/>
        <v>6491.7787508479996</v>
      </c>
    </row>
    <row r="51" spans="14:16" x14ac:dyDescent="0.2">
      <c r="N51" s="602">
        <v>2003</v>
      </c>
      <c r="O51" s="603">
        <f t="shared" si="20"/>
        <v>11303.613573000001</v>
      </c>
      <c r="P51" s="603">
        <f t="shared" si="21"/>
        <v>7071.721837000001</v>
      </c>
    </row>
    <row r="52" spans="14:16" x14ac:dyDescent="0.2">
      <c r="N52" s="604">
        <v>2004</v>
      </c>
      <c r="O52" s="603">
        <f t="shared" si="20"/>
        <v>12001.305316000002</v>
      </c>
      <c r="P52" s="603">
        <f t="shared" si="21"/>
        <v>7639.3457939999998</v>
      </c>
    </row>
    <row r="53" spans="14:16" x14ac:dyDescent="0.2">
      <c r="N53" s="602">
        <v>2005</v>
      </c>
      <c r="O53" s="603">
        <f t="shared" si="20"/>
        <v>12914.287800222222</v>
      </c>
      <c r="P53" s="603">
        <f t="shared" si="21"/>
        <v>7787.095080000001</v>
      </c>
    </row>
    <row r="54" spans="14:16" x14ac:dyDescent="0.2">
      <c r="N54" s="604">
        <v>2006</v>
      </c>
      <c r="O54" s="603">
        <f t="shared" si="20"/>
        <v>14043.638326999999</v>
      </c>
      <c r="P54" s="603">
        <f t="shared" si="21"/>
        <v>8246.4228259999982</v>
      </c>
    </row>
    <row r="55" spans="14:16" x14ac:dyDescent="0.2">
      <c r="N55" s="604">
        <v>2007</v>
      </c>
      <c r="O55" s="603">
        <f t="shared" si="20"/>
        <v>15032.180855000001</v>
      </c>
      <c r="P55" s="603">
        <f t="shared" si="21"/>
        <v>9689.5676980000007</v>
      </c>
    </row>
    <row r="56" spans="14:16" x14ac:dyDescent="0.2">
      <c r="N56" s="604">
        <v>2008</v>
      </c>
      <c r="O56" s="603">
        <f t="shared" si="20"/>
        <v>16297.176545</v>
      </c>
      <c r="P56" s="603">
        <f t="shared" si="21"/>
        <v>10667.238051</v>
      </c>
    </row>
    <row r="57" spans="14:16" x14ac:dyDescent="0.2">
      <c r="N57" s="604">
        <v>2009</v>
      </c>
      <c r="O57" s="603">
        <f t="shared" si="20"/>
        <v>17000.664144999995</v>
      </c>
      <c r="P57" s="603">
        <f t="shared" si="21"/>
        <v>10086.341632</v>
      </c>
    </row>
    <row r="58" spans="14:16" x14ac:dyDescent="0.2">
      <c r="N58" s="604">
        <v>2010</v>
      </c>
      <c r="O58" s="603">
        <f t="shared" si="20"/>
        <v>18195.325098000001</v>
      </c>
      <c r="P58" s="603">
        <f t="shared" si="21"/>
        <v>11240.850026</v>
      </c>
    </row>
    <row r="59" spans="14:16" x14ac:dyDescent="0.2">
      <c r="N59" s="604">
        <v>2011</v>
      </c>
      <c r="O59" s="603">
        <f t="shared" si="20"/>
        <v>19753.040698251101</v>
      </c>
      <c r="P59" s="603">
        <f t="shared" si="21"/>
        <v>12067.310106999999</v>
      </c>
    </row>
    <row r="60" spans="14:16" x14ac:dyDescent="0.2">
      <c r="N60" s="604">
        <v>2012</v>
      </c>
      <c r="O60" s="603">
        <f t="shared" ref="O60:O65" si="22">F24</f>
        <v>20947.295381</v>
      </c>
      <c r="P60" s="603">
        <f t="shared" ref="P60:P65" si="23">I24</f>
        <v>12700.890554</v>
      </c>
    </row>
    <row r="61" spans="14:16" x14ac:dyDescent="0.2">
      <c r="N61" s="604">
        <v>2013</v>
      </c>
      <c r="O61" s="603">
        <f t="shared" si="22"/>
        <v>21935.480477000001</v>
      </c>
      <c r="P61" s="603">
        <f t="shared" si="23"/>
        <v>13674.172223</v>
      </c>
    </row>
    <row r="62" spans="14:16" x14ac:dyDescent="0.2">
      <c r="N62" s="602">
        <v>2014</v>
      </c>
      <c r="O62" s="603">
        <f t="shared" si="22"/>
        <v>22781.971993397114</v>
      </c>
      <c r="P62" s="603">
        <f t="shared" si="23"/>
        <v>14545.805000799999</v>
      </c>
    </row>
    <row r="63" spans="14:16" x14ac:dyDescent="0.2">
      <c r="N63" s="604">
        <v>2015</v>
      </c>
      <c r="O63" s="603">
        <f t="shared" si="22"/>
        <v>23494.010900000001</v>
      </c>
      <c r="P63" s="603">
        <f t="shared" si="23"/>
        <v>16280.733700000001</v>
      </c>
    </row>
    <row r="64" spans="14:16" x14ac:dyDescent="0.2">
      <c r="N64" s="604">
        <v>2016</v>
      </c>
      <c r="O64" s="603">
        <f t="shared" si="22"/>
        <v>22886.332354000038</v>
      </c>
      <c r="P64" s="603">
        <f t="shared" si="23"/>
        <v>20480.666756700004</v>
      </c>
    </row>
    <row r="65" spans="14:16" x14ac:dyDescent="0.2">
      <c r="N65" s="604">
        <v>2017</v>
      </c>
      <c r="O65" s="603">
        <f t="shared" si="22"/>
        <v>22399.543247369966</v>
      </c>
      <c r="P65" s="603">
        <f t="shared" si="23"/>
        <v>21823.709569899995</v>
      </c>
    </row>
    <row r="66" spans="14:16" x14ac:dyDescent="0.2">
      <c r="N66" s="604">
        <v>2018</v>
      </c>
      <c r="O66" s="603">
        <f>F30</f>
        <v>22073.874790390117</v>
      </c>
      <c r="P66" s="603">
        <f>I30</f>
        <v>23793.913051799947</v>
      </c>
    </row>
    <row r="67" spans="14:16" x14ac:dyDescent="0.2">
      <c r="N67" s="602">
        <v>2019</v>
      </c>
      <c r="O67" s="603">
        <f>F31</f>
        <v>22355.024662000003</v>
      </c>
      <c r="P67" s="603">
        <f>I31</f>
        <v>25065.713250000001</v>
      </c>
    </row>
  </sheetData>
  <mergeCells count="5">
    <mergeCell ref="B4:B5"/>
    <mergeCell ref="C4:E4"/>
    <mergeCell ref="F4:H4"/>
    <mergeCell ref="I4:K4"/>
    <mergeCell ref="A1:J1"/>
  </mergeCells>
  <printOptions horizontalCentered="1" verticalCentered="1"/>
  <pageMargins left="0.68" right="0.59" top="1" bottom="1" header="0" footer="0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2"/>
  <sheetViews>
    <sheetView view="pageBreakPreview" zoomScale="90" zoomScaleNormal="80" zoomScaleSheetLayoutView="90" workbookViewId="0">
      <selection activeCell="C29" sqref="C29"/>
    </sheetView>
  </sheetViews>
  <sheetFormatPr baseColWidth="10" defaultRowHeight="12.75" x14ac:dyDescent="0.2"/>
  <cols>
    <col min="1" max="1" width="2.85546875" customWidth="1"/>
    <col min="2" max="2" width="22.140625" customWidth="1"/>
    <col min="3" max="3" width="15" customWidth="1"/>
    <col min="4" max="4" width="13.28515625" customWidth="1"/>
    <col min="5" max="5" width="12.7109375" customWidth="1"/>
    <col min="6" max="6" width="14" customWidth="1"/>
    <col min="7" max="7" width="11.42578125" bestFit="1" customWidth="1"/>
    <col min="8" max="8" width="12.42578125" customWidth="1"/>
    <col min="9" max="9" width="11.7109375" customWidth="1"/>
    <col min="10" max="10" width="11" customWidth="1"/>
    <col min="11" max="11" width="12.28515625" customWidth="1"/>
    <col min="14" max="14" width="11.42578125" style="571"/>
    <col min="15" max="15" width="13.42578125" style="571" bestFit="1" customWidth="1"/>
    <col min="16" max="16" width="12.7109375" style="571" bestFit="1" customWidth="1"/>
  </cols>
  <sheetData>
    <row r="1" spans="1:13" ht="15.75" x14ac:dyDescent="0.25">
      <c r="A1" s="635" t="s">
        <v>212</v>
      </c>
    </row>
    <row r="3" spans="1:13" ht="13.5" thickBot="1" x14ac:dyDescent="0.25"/>
    <row r="4" spans="1:13" x14ac:dyDescent="0.2">
      <c r="B4" s="1282" t="s">
        <v>18</v>
      </c>
      <c r="C4" s="1284" t="s">
        <v>50</v>
      </c>
      <c r="D4" s="1285"/>
      <c r="E4" s="1285"/>
      <c r="F4" s="1284" t="s">
        <v>10</v>
      </c>
      <c r="G4" s="1285"/>
      <c r="H4" s="1285"/>
      <c r="I4" s="1286" t="s">
        <v>11</v>
      </c>
      <c r="J4" s="1285"/>
      <c r="K4" s="1287"/>
    </row>
    <row r="5" spans="1:13" x14ac:dyDescent="0.2">
      <c r="B5" s="1283"/>
      <c r="C5" s="1173" t="s">
        <v>0</v>
      </c>
      <c r="D5" s="1174" t="s">
        <v>16</v>
      </c>
      <c r="E5" s="1175" t="s">
        <v>17</v>
      </c>
      <c r="F5" s="1176" t="s">
        <v>12</v>
      </c>
      <c r="G5" s="1174" t="s">
        <v>16</v>
      </c>
      <c r="H5" s="1177" t="s">
        <v>17</v>
      </c>
      <c r="I5" s="1178" t="s">
        <v>0</v>
      </c>
      <c r="J5" s="1174" t="s">
        <v>16</v>
      </c>
      <c r="K5" s="1175" t="s">
        <v>17</v>
      </c>
    </row>
    <row r="6" spans="1:13" x14ac:dyDescent="0.2">
      <c r="B6" s="605"/>
      <c r="C6" s="606"/>
      <c r="D6" s="659"/>
      <c r="E6" s="660"/>
      <c r="F6" s="607"/>
      <c r="G6" s="659"/>
      <c r="H6" s="675"/>
      <c r="I6" s="608"/>
      <c r="J6" s="659"/>
      <c r="K6" s="660"/>
    </row>
    <row r="7" spans="1:13" x14ac:dyDescent="0.2">
      <c r="B7" s="44">
        <v>1995</v>
      </c>
      <c r="C7" s="45">
        <f>SUM(D7:E7)</f>
        <v>826676.00168974232</v>
      </c>
      <c r="D7" s="642">
        <v>652594.70505039126</v>
      </c>
      <c r="E7" s="643">
        <v>174081.29663935103</v>
      </c>
      <c r="F7" s="46">
        <f t="shared" ref="F7:F16" si="0">SUM(G7:H7)</f>
        <v>776779.19139398972</v>
      </c>
      <c r="G7" s="642">
        <v>652594.70505039126</v>
      </c>
      <c r="H7" s="654">
        <v>124184.48634359846</v>
      </c>
      <c r="I7" s="47">
        <f t="shared" ref="I7:I16" si="1">SUM(J7:K7)</f>
        <v>49896.810295752563</v>
      </c>
      <c r="J7" s="642"/>
      <c r="K7" s="643">
        <v>49896.810295752563</v>
      </c>
      <c r="L7" s="5"/>
      <c r="M7" s="3"/>
    </row>
    <row r="8" spans="1:13" x14ac:dyDescent="0.2">
      <c r="B8" s="18">
        <v>1996</v>
      </c>
      <c r="C8" s="19">
        <f>SUM(D8:E8)</f>
        <v>893370.39514081739</v>
      </c>
      <c r="D8" s="661">
        <v>703942.0843935553</v>
      </c>
      <c r="E8" s="662">
        <v>189428.31074726206</v>
      </c>
      <c r="F8" s="22">
        <f t="shared" si="0"/>
        <v>822460.27859264216</v>
      </c>
      <c r="G8" s="661">
        <v>703942.0843935553</v>
      </c>
      <c r="H8" s="676">
        <v>118518.19419908689</v>
      </c>
      <c r="I8" s="16">
        <f t="shared" si="1"/>
        <v>70910.116548175167</v>
      </c>
      <c r="J8" s="661"/>
      <c r="K8" s="662">
        <v>70910.116548175167</v>
      </c>
      <c r="L8" s="5"/>
      <c r="M8" s="3"/>
    </row>
    <row r="9" spans="1:13" x14ac:dyDescent="0.2">
      <c r="B9" s="44">
        <v>1997</v>
      </c>
      <c r="C9" s="45">
        <f>SUM(D9:E9)</f>
        <v>1019537.5366169369</v>
      </c>
      <c r="D9" s="642">
        <v>739882.06859937776</v>
      </c>
      <c r="E9" s="643">
        <v>279655.46801755915</v>
      </c>
      <c r="F9" s="46">
        <f t="shared" si="0"/>
        <v>859351.67959043023</v>
      </c>
      <c r="G9" s="642">
        <v>739882.06859937776</v>
      </c>
      <c r="H9" s="654">
        <v>119469.61099105242</v>
      </c>
      <c r="I9" s="47">
        <f t="shared" si="1"/>
        <v>160185.85702650671</v>
      </c>
      <c r="J9" s="642"/>
      <c r="K9" s="643">
        <v>160185.85702650671</v>
      </c>
      <c r="L9" s="5"/>
      <c r="M9" s="3"/>
    </row>
    <row r="10" spans="1:13" x14ac:dyDescent="0.2">
      <c r="B10" s="18">
        <v>1998</v>
      </c>
      <c r="C10" s="19">
        <f t="shared" ref="C10:C16" si="2">SUM(D10:E10)</f>
        <v>988144.97054525139</v>
      </c>
      <c r="D10" s="661">
        <v>678887.14895575435</v>
      </c>
      <c r="E10" s="662">
        <v>309257.82158949709</v>
      </c>
      <c r="F10" s="22">
        <f t="shared" si="0"/>
        <v>786060.99965563859</v>
      </c>
      <c r="G10" s="661">
        <v>678887.14895575435</v>
      </c>
      <c r="H10" s="676">
        <v>107173.85069988419</v>
      </c>
      <c r="I10" s="16">
        <f t="shared" si="1"/>
        <v>202083.97088961289</v>
      </c>
      <c r="J10" s="661"/>
      <c r="K10" s="662">
        <v>202083.97088961289</v>
      </c>
      <c r="L10" s="5"/>
      <c r="M10" s="3"/>
    </row>
    <row r="11" spans="1:13" x14ac:dyDescent="0.2">
      <c r="B11" s="44">
        <v>1999</v>
      </c>
      <c r="C11" s="45">
        <f t="shared" si="2"/>
        <v>991959.36826673022</v>
      </c>
      <c r="D11" s="642">
        <v>670509.97864915198</v>
      </c>
      <c r="E11" s="643">
        <v>321449.38961757824</v>
      </c>
      <c r="F11" s="46">
        <f t="shared" si="0"/>
        <v>778389.13985393988</v>
      </c>
      <c r="G11" s="642">
        <v>670509.97864915198</v>
      </c>
      <c r="H11" s="654">
        <v>107879.16120478789</v>
      </c>
      <c r="I11" s="47">
        <f t="shared" si="1"/>
        <v>213570.22841279037</v>
      </c>
      <c r="J11" s="642"/>
      <c r="K11" s="643">
        <v>213570.22841279037</v>
      </c>
      <c r="L11" s="5"/>
      <c r="M11" s="3"/>
    </row>
    <row r="12" spans="1:13" x14ac:dyDescent="0.2">
      <c r="B12" s="18">
        <v>2000</v>
      </c>
      <c r="C12" s="19">
        <f t="shared" si="2"/>
        <v>1113069.5002683792</v>
      </c>
      <c r="D12" s="661">
        <v>740329.43935992219</v>
      </c>
      <c r="E12" s="662">
        <v>372740.06090845715</v>
      </c>
      <c r="F12" s="22">
        <f t="shared" si="0"/>
        <v>866072.13672822504</v>
      </c>
      <c r="G12" s="661">
        <v>740329.43935992219</v>
      </c>
      <c r="H12" s="676">
        <v>125742.6973683028</v>
      </c>
      <c r="I12" s="16">
        <f t="shared" si="1"/>
        <v>246997.36354015436</v>
      </c>
      <c r="J12" s="661"/>
      <c r="K12" s="662">
        <v>246997.36354015436</v>
      </c>
      <c r="L12" s="5"/>
      <c r="M12" s="3"/>
    </row>
    <row r="13" spans="1:13" x14ac:dyDescent="0.2">
      <c r="B13" s="44">
        <v>2001</v>
      </c>
      <c r="C13" s="45">
        <f>SUM(D13:E13)</f>
        <v>1139358.5138385482</v>
      </c>
      <c r="D13" s="642">
        <v>761192.05792891572</v>
      </c>
      <c r="E13" s="643">
        <v>378166.4559096325</v>
      </c>
      <c r="F13" s="46">
        <f>SUM(G13:H13)</f>
        <v>862632.28368588316</v>
      </c>
      <c r="G13" s="642">
        <v>761192.05792891572</v>
      </c>
      <c r="H13" s="654">
        <v>101440.22575696744</v>
      </c>
      <c r="I13" s="47">
        <f t="shared" si="1"/>
        <v>276726.23015266506</v>
      </c>
      <c r="J13" s="642"/>
      <c r="K13" s="643">
        <v>276726.23015266506</v>
      </c>
      <c r="L13" s="5"/>
      <c r="M13" s="3"/>
    </row>
    <row r="14" spans="1:13" x14ac:dyDescent="0.2">
      <c r="B14" s="18">
        <v>2002</v>
      </c>
      <c r="C14" s="19">
        <f t="shared" si="2"/>
        <v>1157067.1602677335</v>
      </c>
      <c r="D14" s="661">
        <v>764543.09032842796</v>
      </c>
      <c r="E14" s="662">
        <v>392524.06993930548</v>
      </c>
      <c r="F14" s="22">
        <f t="shared" si="0"/>
        <v>862228.11757443007</v>
      </c>
      <c r="G14" s="661">
        <v>764543.09032842796</v>
      </c>
      <c r="H14" s="676">
        <v>97685.027246002166</v>
      </c>
      <c r="I14" s="16">
        <f t="shared" si="1"/>
        <v>294839.04269330332</v>
      </c>
      <c r="J14" s="663"/>
      <c r="K14" s="662">
        <v>294839.04269330332</v>
      </c>
      <c r="L14" s="5"/>
    </row>
    <row r="15" spans="1:13" x14ac:dyDescent="0.2">
      <c r="B15" s="44">
        <v>2003</v>
      </c>
      <c r="C15" s="45">
        <f>SUM(D15:E15)</f>
        <v>1217210.1436706816</v>
      </c>
      <c r="D15" s="642">
        <v>811107.14639795315</v>
      </c>
      <c r="E15" s="643">
        <v>406102.99727272848</v>
      </c>
      <c r="F15" s="46">
        <f>SUM(G15:H15)</f>
        <v>901096.17241545301</v>
      </c>
      <c r="G15" s="642">
        <v>811107.14639795315</v>
      </c>
      <c r="H15" s="654">
        <v>89989.026017499913</v>
      </c>
      <c r="I15" s="47">
        <f>SUM(J15:K15)</f>
        <v>316113.97125522856</v>
      </c>
      <c r="J15" s="642"/>
      <c r="K15" s="643">
        <v>316113.97125522856</v>
      </c>
      <c r="L15" s="5"/>
      <c r="M15" s="3"/>
    </row>
    <row r="16" spans="1:13" x14ac:dyDescent="0.2">
      <c r="B16" s="18">
        <v>2004</v>
      </c>
      <c r="C16" s="19">
        <f t="shared" si="2"/>
        <v>1382300.0118101076</v>
      </c>
      <c r="D16" s="661">
        <v>897997.70685053943</v>
      </c>
      <c r="E16" s="662">
        <v>484302.30495956831</v>
      </c>
      <c r="F16" s="22">
        <f t="shared" si="0"/>
        <v>986870.11767828721</v>
      </c>
      <c r="G16" s="661">
        <v>897997.70685053943</v>
      </c>
      <c r="H16" s="676">
        <v>88872.410827747721</v>
      </c>
      <c r="I16" s="16">
        <f t="shared" si="1"/>
        <v>395429.89413182059</v>
      </c>
      <c r="J16" s="663"/>
      <c r="K16" s="662">
        <v>395429.89413182059</v>
      </c>
      <c r="L16" s="5"/>
    </row>
    <row r="17" spans="2:13" x14ac:dyDescent="0.2">
      <c r="B17" s="44">
        <v>2005</v>
      </c>
      <c r="C17" s="45">
        <f t="shared" ref="C17:C26" si="3">SUM(D17:E17)</f>
        <v>1579209.27109638</v>
      </c>
      <c r="D17" s="642">
        <v>1048137.0214944701</v>
      </c>
      <c r="E17" s="643">
        <v>531072.24960191001</v>
      </c>
      <c r="F17" s="46">
        <f t="shared" ref="F17:F24" si="4">SUM(G17:H17)</f>
        <v>1147775.8928376874</v>
      </c>
      <c r="G17" s="642">
        <v>1048137.0214944701</v>
      </c>
      <c r="H17" s="654">
        <v>99638.871343217426</v>
      </c>
      <c r="I17" s="47">
        <f t="shared" ref="I17:I26" si="5">SUM(J17:K17)</f>
        <v>431433.37825869262</v>
      </c>
      <c r="J17" s="642"/>
      <c r="K17" s="643">
        <v>431433.37825869262</v>
      </c>
      <c r="L17" s="5"/>
      <c r="M17" s="3"/>
    </row>
    <row r="18" spans="2:13" x14ac:dyDescent="0.2">
      <c r="B18" s="18">
        <v>2006</v>
      </c>
      <c r="C18" s="19">
        <f t="shared" si="3"/>
        <v>1683168.9043059072</v>
      </c>
      <c r="D18" s="661">
        <v>1120521.0639498956</v>
      </c>
      <c r="E18" s="662">
        <v>562647.84035601164</v>
      </c>
      <c r="F18" s="22">
        <f t="shared" si="4"/>
        <v>1222413.6377595204</v>
      </c>
      <c r="G18" s="661">
        <v>1120521.0639498956</v>
      </c>
      <c r="H18" s="676">
        <v>101892.57380962497</v>
      </c>
      <c r="I18" s="16">
        <f t="shared" si="5"/>
        <v>460755.2665463867</v>
      </c>
      <c r="J18" s="663"/>
      <c r="K18" s="662">
        <v>460755.2665463867</v>
      </c>
      <c r="L18" s="5"/>
    </row>
    <row r="19" spans="2:13" x14ac:dyDescent="0.2">
      <c r="B19" s="44">
        <v>2007</v>
      </c>
      <c r="C19" s="45">
        <f t="shared" si="3"/>
        <v>1830631.6634342424</v>
      </c>
      <c r="D19" s="642">
        <v>1213689.4778540342</v>
      </c>
      <c r="E19" s="643">
        <v>616942.18558020808</v>
      </c>
      <c r="F19" s="46">
        <f t="shared" si="4"/>
        <v>1305447.8754961956</v>
      </c>
      <c r="G19" s="642">
        <v>1213689.4778540342</v>
      </c>
      <c r="H19" s="654">
        <v>91758.397642161377</v>
      </c>
      <c r="I19" s="47">
        <f t="shared" si="5"/>
        <v>525183.78793804673</v>
      </c>
      <c r="J19" s="642"/>
      <c r="K19" s="643">
        <v>525183.78793804673</v>
      </c>
      <c r="L19" s="5"/>
      <c r="M19" s="3"/>
    </row>
    <row r="20" spans="2:13" x14ac:dyDescent="0.2">
      <c r="B20" s="18">
        <v>2008</v>
      </c>
      <c r="C20" s="19">
        <f t="shared" si="3"/>
        <v>2216099.9731833665</v>
      </c>
      <c r="D20" s="661">
        <v>1393393.8557439279</v>
      </c>
      <c r="E20" s="662">
        <v>822706.11743943871</v>
      </c>
      <c r="F20" s="22">
        <f t="shared" si="4"/>
        <v>1501002.7378177985</v>
      </c>
      <c r="G20" s="661">
        <v>1393393.8557439279</v>
      </c>
      <c r="H20" s="676">
        <v>107608.88207387061</v>
      </c>
      <c r="I20" s="16">
        <f t="shared" si="5"/>
        <v>715097.23536556808</v>
      </c>
      <c r="J20" s="663"/>
      <c r="K20" s="662">
        <v>715097.23536556808</v>
      </c>
      <c r="L20" s="5"/>
    </row>
    <row r="21" spans="2:13" x14ac:dyDescent="0.2">
      <c r="B21" s="44">
        <v>2009</v>
      </c>
      <c r="C21" s="45">
        <f t="shared" si="3"/>
        <v>2236058.1538174003</v>
      </c>
      <c r="D21" s="642">
        <v>1556915.7010486</v>
      </c>
      <c r="E21" s="643">
        <v>679142.45276880008</v>
      </c>
      <c r="F21" s="46">
        <f t="shared" si="4"/>
        <v>1675664.7528214001</v>
      </c>
      <c r="G21" s="642">
        <v>1556915.7010486</v>
      </c>
      <c r="H21" s="654">
        <v>118749.05177280001</v>
      </c>
      <c r="I21" s="47">
        <f t="shared" si="5"/>
        <v>560393.40099600004</v>
      </c>
      <c r="J21" s="642"/>
      <c r="K21" s="643">
        <v>560393.40099600004</v>
      </c>
      <c r="L21" s="5"/>
      <c r="M21" s="3"/>
    </row>
    <row r="22" spans="2:13" x14ac:dyDescent="0.2">
      <c r="B22" s="18">
        <v>2010</v>
      </c>
      <c r="C22" s="19">
        <f t="shared" si="3"/>
        <v>2448535.0282029589</v>
      </c>
      <c r="D22" s="661">
        <v>1718589.3030064055</v>
      </c>
      <c r="E22" s="662">
        <v>729945.72519655328</v>
      </c>
      <c r="F22" s="22">
        <f t="shared" si="4"/>
        <v>1841104.1163105767</v>
      </c>
      <c r="G22" s="661">
        <v>1718589.3030064055</v>
      </c>
      <c r="H22" s="676">
        <v>122514.81330417127</v>
      </c>
      <c r="I22" s="16">
        <f t="shared" si="5"/>
        <v>607430.91189238196</v>
      </c>
      <c r="J22" s="663"/>
      <c r="K22" s="662">
        <v>607430.91189238196</v>
      </c>
      <c r="L22" s="5"/>
    </row>
    <row r="23" spans="2:13" x14ac:dyDescent="0.2">
      <c r="B23" s="44">
        <v>2011</v>
      </c>
      <c r="C23" s="45">
        <f t="shared" si="3"/>
        <v>2860391.5553587964</v>
      </c>
      <c r="D23" s="642">
        <f t="shared" ref="D23:E26" si="6">SUM(G23,J23)</f>
        <v>1984402.4158051817</v>
      </c>
      <c r="E23" s="643">
        <f t="shared" si="6"/>
        <v>875989.13955361478</v>
      </c>
      <c r="F23" s="46">
        <f t="shared" si="4"/>
        <v>2130475.7425380684</v>
      </c>
      <c r="G23" s="642">
        <v>1984402.4158051817</v>
      </c>
      <c r="H23" s="654">
        <v>146073.32673288661</v>
      </c>
      <c r="I23" s="47">
        <f t="shared" si="5"/>
        <v>729915.81282072817</v>
      </c>
      <c r="J23" s="642"/>
      <c r="K23" s="643">
        <v>729915.81282072817</v>
      </c>
      <c r="L23" s="5"/>
      <c r="M23" s="3"/>
    </row>
    <row r="24" spans="2:13" x14ac:dyDescent="0.2">
      <c r="B24" s="18">
        <v>2012</v>
      </c>
      <c r="C24" s="19">
        <f t="shared" si="3"/>
        <v>3299125.4993270128</v>
      </c>
      <c r="D24" s="661">
        <f t="shared" si="6"/>
        <v>2313676.2538387571</v>
      </c>
      <c r="E24" s="662">
        <f t="shared" si="6"/>
        <v>985449.24548825575</v>
      </c>
      <c r="F24" s="22">
        <f t="shared" si="4"/>
        <v>2474533.5608113473</v>
      </c>
      <c r="G24" s="661">
        <v>2313676.2538387571</v>
      </c>
      <c r="H24" s="676">
        <v>160857.30697259022</v>
      </c>
      <c r="I24" s="17">
        <f t="shared" si="5"/>
        <v>824591.93851566559</v>
      </c>
      <c r="J24" s="663"/>
      <c r="K24" s="662">
        <v>824591.93851566559</v>
      </c>
      <c r="L24" s="5"/>
    </row>
    <row r="25" spans="2:13" x14ac:dyDescent="0.2">
      <c r="B25" s="44">
        <v>2013</v>
      </c>
      <c r="C25" s="45">
        <f>SUM(D25:E25)</f>
        <v>3536226.3294514879</v>
      </c>
      <c r="D25" s="642">
        <f>SUM(G25,J25)</f>
        <v>2432390.4404826746</v>
      </c>
      <c r="E25" s="643">
        <f>SUM(H25,K25)</f>
        <v>1103835.8889688132</v>
      </c>
      <c r="F25" s="46">
        <f t="shared" ref="F25:F31" si="7">SUM(G25:H25)</f>
        <v>2617666.0377430008</v>
      </c>
      <c r="G25" s="642">
        <v>2432390.4404826746</v>
      </c>
      <c r="H25" s="654">
        <v>185275.59726032626</v>
      </c>
      <c r="I25" s="47">
        <f>SUM(J25:K25)</f>
        <v>918560.29170848709</v>
      </c>
      <c r="J25" s="642"/>
      <c r="K25" s="643">
        <v>918560.29170848709</v>
      </c>
      <c r="L25" s="5"/>
      <c r="M25" s="3"/>
    </row>
    <row r="26" spans="2:13" x14ac:dyDescent="0.2">
      <c r="B26" s="18">
        <v>2014</v>
      </c>
      <c r="C26" s="19">
        <f t="shared" si="3"/>
        <v>4025346.1154737719</v>
      </c>
      <c r="D26" s="661">
        <f t="shared" si="6"/>
        <v>2788652.8472375898</v>
      </c>
      <c r="E26" s="662">
        <f t="shared" si="6"/>
        <v>1236693.2682361822</v>
      </c>
      <c r="F26" s="22">
        <f t="shared" si="7"/>
        <v>2974214.4336705087</v>
      </c>
      <c r="G26" s="661">
        <f>2788496.01766659+156.829571</f>
        <v>2788652.8472375898</v>
      </c>
      <c r="H26" s="676">
        <v>185561.58643291882</v>
      </c>
      <c r="I26" s="17">
        <f t="shared" si="5"/>
        <v>1051131.6818032633</v>
      </c>
      <c r="J26" s="663"/>
      <c r="K26" s="662">
        <v>1051131.6818032633</v>
      </c>
      <c r="L26" s="5"/>
    </row>
    <row r="27" spans="2:13" x14ac:dyDescent="0.2">
      <c r="B27" s="44">
        <v>2015</v>
      </c>
      <c r="C27" s="45">
        <f>SUM(D27:E27)</f>
        <v>4171411.39</v>
      </c>
      <c r="D27" s="642">
        <f t="shared" ref="D27:E29" si="8">SUM(G27,J27)</f>
        <v>2880093.06</v>
      </c>
      <c r="E27" s="643">
        <f t="shared" si="8"/>
        <v>1291318.33</v>
      </c>
      <c r="F27" s="46">
        <f t="shared" si="7"/>
        <v>3054173.97</v>
      </c>
      <c r="G27" s="642">
        <v>2880093.06</v>
      </c>
      <c r="H27" s="654">
        <v>174080.90999999997</v>
      </c>
      <c r="I27" s="47">
        <f>SUM(J27:K27)</f>
        <v>1117237.4200000002</v>
      </c>
      <c r="J27" s="642"/>
      <c r="K27" s="643">
        <v>1117237.4200000002</v>
      </c>
      <c r="L27" s="5"/>
      <c r="M27" s="3"/>
    </row>
    <row r="28" spans="2:13" x14ac:dyDescent="0.2">
      <c r="B28" s="40">
        <v>2016</v>
      </c>
      <c r="C28" s="195">
        <f>SUM(D28:E28)</f>
        <v>4449456.4555341695</v>
      </c>
      <c r="D28" s="661">
        <f t="shared" si="8"/>
        <v>2947578.3042463912</v>
      </c>
      <c r="E28" s="662">
        <f t="shared" si="8"/>
        <v>1501878.1512877787</v>
      </c>
      <c r="F28" s="22">
        <f t="shared" si="7"/>
        <v>3107945.2125680889</v>
      </c>
      <c r="G28" s="677">
        <v>2947578.3042463912</v>
      </c>
      <c r="H28" s="678">
        <v>160366.90832169791</v>
      </c>
      <c r="I28" s="17">
        <f>SUM(J28:K28)</f>
        <v>1341511.2429660808</v>
      </c>
      <c r="J28" s="663"/>
      <c r="K28" s="664">
        <v>1341511.2429660808</v>
      </c>
      <c r="L28" s="5"/>
    </row>
    <row r="29" spans="2:13" x14ac:dyDescent="0.2">
      <c r="B29" s="827">
        <v>2017</v>
      </c>
      <c r="C29" s="45">
        <f>SUM(D29:E29)</f>
        <v>4479698.1663574148</v>
      </c>
      <c r="D29" s="642">
        <f t="shared" si="8"/>
        <v>2915208.574825678</v>
      </c>
      <c r="E29" s="643">
        <f t="shared" si="8"/>
        <v>1564489.5915317368</v>
      </c>
      <c r="F29" s="46">
        <f t="shared" si="7"/>
        <v>3135319.541849813</v>
      </c>
      <c r="G29" s="642">
        <v>2915208.574825678</v>
      </c>
      <c r="H29" s="654">
        <v>220110.96702413473</v>
      </c>
      <c r="I29" s="47">
        <f>SUM(J29:K29)</f>
        <v>1344378.6245076021</v>
      </c>
      <c r="J29" s="642"/>
      <c r="K29" s="643">
        <v>1344378.6245076021</v>
      </c>
      <c r="L29" s="5"/>
      <c r="M29" s="3"/>
    </row>
    <row r="30" spans="2:13" x14ac:dyDescent="0.2">
      <c r="B30" s="18">
        <v>2018</v>
      </c>
      <c r="C30" s="19">
        <f>SUM(D30:E30)</f>
        <v>4732556.0865234053</v>
      </c>
      <c r="D30" s="661">
        <f>SUM(G30,J30)</f>
        <v>3048268.389888241</v>
      </c>
      <c r="E30" s="662">
        <f>SUM(H30,K30)</f>
        <v>1684287.6966351643</v>
      </c>
      <c r="F30" s="22">
        <f t="shared" si="7"/>
        <v>3262079.7526476942</v>
      </c>
      <c r="G30" s="661">
        <v>3048268.389888241</v>
      </c>
      <c r="H30" s="676">
        <v>213811.36275945348</v>
      </c>
      <c r="I30" s="17">
        <f>SUM(J30:K30)</f>
        <v>1470476.3338757108</v>
      </c>
      <c r="J30" s="663"/>
      <c r="K30" s="662">
        <v>1470476.3338757108</v>
      </c>
      <c r="L30" s="5"/>
    </row>
    <row r="31" spans="2:13" x14ac:dyDescent="0.2">
      <c r="B31" s="827">
        <v>2019</v>
      </c>
      <c r="C31" s="45">
        <f>SUM(D31:E31)</f>
        <v>4932709.2369999997</v>
      </c>
      <c r="D31" s="642">
        <f>SUM(G31,J31)</f>
        <v>3151419.017</v>
      </c>
      <c r="E31" s="643">
        <f>SUM(H31,K31)</f>
        <v>1781290.22</v>
      </c>
      <c r="F31" s="46">
        <f t="shared" si="7"/>
        <v>3390349.5109999999</v>
      </c>
      <c r="G31" s="642">
        <v>3151419.017</v>
      </c>
      <c r="H31" s="654">
        <v>238930.49400000001</v>
      </c>
      <c r="I31" s="47">
        <f>SUM(J31:K31)</f>
        <v>1542359.726</v>
      </c>
      <c r="J31" s="642"/>
      <c r="K31" s="643">
        <v>1542359.726</v>
      </c>
      <c r="L31" s="5"/>
      <c r="M31" s="3"/>
    </row>
    <row r="32" spans="2:13" ht="13.5" thickBot="1" x14ac:dyDescent="0.25">
      <c r="B32" s="31"/>
      <c r="C32" s="506"/>
      <c r="D32" s="679"/>
      <c r="E32" s="666"/>
      <c r="F32" s="507"/>
      <c r="G32" s="679"/>
      <c r="H32" s="680"/>
      <c r="I32" s="203"/>
      <c r="J32" s="665"/>
      <c r="K32" s="666"/>
      <c r="L32" s="5"/>
    </row>
    <row r="33" spans="1:16" ht="13.5" customHeight="1" x14ac:dyDescent="0.2">
      <c r="B33" s="613" t="s">
        <v>356</v>
      </c>
      <c r="C33" s="621">
        <f t="shared" ref="C33:I33" si="9">(C31/C30)-1</f>
        <v>4.2292821641682687E-2</v>
      </c>
      <c r="D33" s="644">
        <f t="shared" si="9"/>
        <v>3.3839089580803172E-2</v>
      </c>
      <c r="E33" s="622">
        <f t="shared" si="9"/>
        <v>5.7592609361586611E-2</v>
      </c>
      <c r="F33" s="648">
        <f t="shared" si="9"/>
        <v>3.9321466082548939E-2</v>
      </c>
      <c r="G33" s="644">
        <f t="shared" si="9"/>
        <v>3.3839089580803172E-2</v>
      </c>
      <c r="H33" s="655">
        <f t="shared" si="9"/>
        <v>0.11748267686225167</v>
      </c>
      <c r="I33" s="636">
        <f t="shared" si="9"/>
        <v>4.888442640544044E-2</v>
      </c>
      <c r="J33" s="667"/>
      <c r="K33" s="668">
        <f>(K31/K30)-1</f>
        <v>4.888442640544044E-2</v>
      </c>
    </row>
    <row r="34" spans="1:16" ht="13.5" customHeight="1" x14ac:dyDescent="0.2">
      <c r="B34" s="615" t="s">
        <v>357</v>
      </c>
      <c r="C34" s="623">
        <f t="shared" ref="C34:I34" si="10">((C31/C26)^(1/5))-1</f>
        <v>4.1493245039522897E-2</v>
      </c>
      <c r="D34" s="645">
        <f t="shared" si="10"/>
        <v>2.4760411965003781E-2</v>
      </c>
      <c r="E34" s="624">
        <f t="shared" si="10"/>
        <v>7.5708343963371005E-2</v>
      </c>
      <c r="F34" s="649">
        <f t="shared" si="10"/>
        <v>2.6536601754965528E-2</v>
      </c>
      <c r="G34" s="645">
        <f t="shared" si="10"/>
        <v>2.4760411965003781E-2</v>
      </c>
      <c r="H34" s="656">
        <f t="shared" si="10"/>
        <v>5.1856998461240034E-2</v>
      </c>
      <c r="I34" s="637">
        <f t="shared" si="10"/>
        <v>7.9706485445101949E-2</v>
      </c>
      <c r="J34" s="669"/>
      <c r="K34" s="670">
        <f>((K31/K26)^(1/5))-1</f>
        <v>7.9706485445101949E-2</v>
      </c>
    </row>
    <row r="35" spans="1:16" ht="13.5" customHeight="1" x14ac:dyDescent="0.2">
      <c r="B35" s="617" t="s">
        <v>358</v>
      </c>
      <c r="C35" s="625">
        <f t="shared" ref="C35:I35" si="11">(C31/C21)-1</f>
        <v>1.2059843249509745</v>
      </c>
      <c r="D35" s="646">
        <f t="shared" si="11"/>
        <v>1.024142357147201</v>
      </c>
      <c r="E35" s="626">
        <f t="shared" si="11"/>
        <v>1.6228521170158734</v>
      </c>
      <c r="F35" s="650">
        <f t="shared" si="11"/>
        <v>1.0232862840204162</v>
      </c>
      <c r="G35" s="646">
        <f t="shared" si="11"/>
        <v>1.024142357147201</v>
      </c>
      <c r="H35" s="657">
        <f t="shared" si="11"/>
        <v>1.0120623317240507</v>
      </c>
      <c r="I35" s="638">
        <f t="shared" si="11"/>
        <v>1.7522803146124288</v>
      </c>
      <c r="J35" s="671"/>
      <c r="K35" s="672">
        <f>(K31/K21)-1</f>
        <v>1.7522803146124288</v>
      </c>
      <c r="L35" s="5"/>
    </row>
    <row r="36" spans="1:16" ht="13.5" customHeight="1" thickBot="1" x14ac:dyDescent="0.25">
      <c r="B36" s="619" t="s">
        <v>359</v>
      </c>
      <c r="C36" s="627">
        <f t="shared" ref="C36:I36" si="12">((C31/C21)^(1/10))-1</f>
        <v>8.2331360310389679E-2</v>
      </c>
      <c r="D36" s="647">
        <f t="shared" si="12"/>
        <v>7.3060244956999254E-2</v>
      </c>
      <c r="E36" s="628">
        <f t="shared" si="12"/>
        <v>0.10122834273116776</v>
      </c>
      <c r="F36" s="651">
        <f t="shared" si="12"/>
        <v>7.3014853242663103E-2</v>
      </c>
      <c r="G36" s="647">
        <f t="shared" si="12"/>
        <v>7.3060244956999254E-2</v>
      </c>
      <c r="H36" s="658">
        <f t="shared" si="12"/>
        <v>7.241811920288499E-2</v>
      </c>
      <c r="I36" s="639">
        <f t="shared" si="12"/>
        <v>0.10654547457699848</v>
      </c>
      <c r="J36" s="673"/>
      <c r="K36" s="674">
        <f>((K31/K21)^(1/10))-1</f>
        <v>0.10654547457699848</v>
      </c>
      <c r="L36" s="5"/>
    </row>
    <row r="37" spans="1:16" x14ac:dyDescent="0.2">
      <c r="A37" s="356"/>
      <c r="B37" s="1101"/>
      <c r="C37" s="1102"/>
      <c r="D37" s="356"/>
      <c r="E37" s="356"/>
      <c r="F37" s="356"/>
      <c r="G37" s="356"/>
      <c r="H37" s="356"/>
      <c r="I37" s="356"/>
      <c r="J37" s="363"/>
      <c r="K37" s="356"/>
    </row>
    <row r="38" spans="1:16" x14ac:dyDescent="0.2">
      <c r="A38" s="356"/>
      <c r="B38" s="749"/>
      <c r="C38" s="356"/>
      <c r="D38" s="356"/>
      <c r="E38" s="356"/>
      <c r="F38" s="356"/>
      <c r="G38" s="356"/>
      <c r="H38" s="356"/>
      <c r="I38" s="356"/>
      <c r="J38" s="356"/>
      <c r="K38" s="356"/>
    </row>
    <row r="39" spans="1:16" x14ac:dyDescent="0.2">
      <c r="A39" s="356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O39" s="611" t="s">
        <v>8</v>
      </c>
      <c r="P39" s="611" t="s">
        <v>9</v>
      </c>
    </row>
    <row r="40" spans="1:16" x14ac:dyDescent="0.2">
      <c r="A40" s="35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N40" s="612">
        <f t="shared" ref="N40:N62" si="13">+B7</f>
        <v>1995</v>
      </c>
      <c r="O40" s="609">
        <f t="shared" ref="O40:O63" si="14">+D7</f>
        <v>652594.70505039126</v>
      </c>
      <c r="P40" s="609">
        <f t="shared" ref="P40:P63" si="15">+E7</f>
        <v>174081.29663935103</v>
      </c>
    </row>
    <row r="41" spans="1:16" x14ac:dyDescent="0.2">
      <c r="A41" s="356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N41" s="612">
        <f t="shared" si="13"/>
        <v>1996</v>
      </c>
      <c r="O41" s="609">
        <f t="shared" si="14"/>
        <v>703942.0843935553</v>
      </c>
      <c r="P41" s="609">
        <f t="shared" si="15"/>
        <v>189428.31074726206</v>
      </c>
    </row>
    <row r="42" spans="1:16" x14ac:dyDescent="0.2">
      <c r="A42" s="356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N42" s="612">
        <f t="shared" si="13"/>
        <v>1997</v>
      </c>
      <c r="O42" s="609">
        <f t="shared" si="14"/>
        <v>739882.06859937776</v>
      </c>
      <c r="P42" s="609">
        <f t="shared" si="15"/>
        <v>279655.46801755915</v>
      </c>
    </row>
    <row r="43" spans="1:16" x14ac:dyDescent="0.2">
      <c r="A43" s="356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N43" s="612">
        <f t="shared" si="13"/>
        <v>1998</v>
      </c>
      <c r="O43" s="609">
        <f t="shared" si="14"/>
        <v>678887.14895575435</v>
      </c>
      <c r="P43" s="609">
        <f t="shared" si="15"/>
        <v>309257.82158949709</v>
      </c>
    </row>
    <row r="44" spans="1:16" x14ac:dyDescent="0.2">
      <c r="A44" s="356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N44" s="612">
        <f t="shared" si="13"/>
        <v>1999</v>
      </c>
      <c r="O44" s="609">
        <f t="shared" si="14"/>
        <v>670509.97864915198</v>
      </c>
      <c r="P44" s="609">
        <f t="shared" si="15"/>
        <v>321449.38961757824</v>
      </c>
    </row>
    <row r="45" spans="1:16" x14ac:dyDescent="0.2">
      <c r="A45" s="356"/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N45" s="612">
        <f t="shared" si="13"/>
        <v>2000</v>
      </c>
      <c r="O45" s="609">
        <f t="shared" si="14"/>
        <v>740329.43935992219</v>
      </c>
      <c r="P45" s="609">
        <f t="shared" si="15"/>
        <v>372740.06090845715</v>
      </c>
    </row>
    <row r="46" spans="1:16" x14ac:dyDescent="0.2">
      <c r="A46" s="356"/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N46" s="612">
        <f t="shared" si="13"/>
        <v>2001</v>
      </c>
      <c r="O46" s="609">
        <f t="shared" si="14"/>
        <v>761192.05792891572</v>
      </c>
      <c r="P46" s="609">
        <f t="shared" si="15"/>
        <v>378166.4559096325</v>
      </c>
    </row>
    <row r="47" spans="1:16" x14ac:dyDescent="0.2">
      <c r="A47" s="356"/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N47" s="612">
        <f t="shared" si="13"/>
        <v>2002</v>
      </c>
      <c r="O47" s="609">
        <f t="shared" si="14"/>
        <v>764543.09032842796</v>
      </c>
      <c r="P47" s="609">
        <f t="shared" si="15"/>
        <v>392524.06993930548</v>
      </c>
    </row>
    <row r="48" spans="1:16" x14ac:dyDescent="0.2">
      <c r="A48" s="356"/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N48" s="612">
        <f t="shared" si="13"/>
        <v>2003</v>
      </c>
      <c r="O48" s="609">
        <f t="shared" si="14"/>
        <v>811107.14639795315</v>
      </c>
      <c r="P48" s="609">
        <f t="shared" si="15"/>
        <v>406102.99727272848</v>
      </c>
    </row>
    <row r="49" spans="1:16" x14ac:dyDescent="0.2">
      <c r="A49" s="356"/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N49" s="612">
        <f t="shared" si="13"/>
        <v>2004</v>
      </c>
      <c r="O49" s="609">
        <f t="shared" si="14"/>
        <v>897997.70685053943</v>
      </c>
      <c r="P49" s="609">
        <f t="shared" si="15"/>
        <v>484302.30495956831</v>
      </c>
    </row>
    <row r="50" spans="1:16" x14ac:dyDescent="0.2">
      <c r="A50" s="356"/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N50" s="612">
        <f t="shared" si="13"/>
        <v>2005</v>
      </c>
      <c r="O50" s="609">
        <f t="shared" si="14"/>
        <v>1048137.0214944701</v>
      </c>
      <c r="P50" s="609">
        <f t="shared" si="15"/>
        <v>531072.24960191001</v>
      </c>
    </row>
    <row r="51" spans="1:16" x14ac:dyDescent="0.2">
      <c r="A51" s="356"/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N51" s="612">
        <f t="shared" si="13"/>
        <v>2006</v>
      </c>
      <c r="O51" s="609">
        <f t="shared" si="14"/>
        <v>1120521.0639498956</v>
      </c>
      <c r="P51" s="609">
        <f t="shared" si="15"/>
        <v>562647.84035601164</v>
      </c>
    </row>
    <row r="52" spans="1:16" x14ac:dyDescent="0.2">
      <c r="A52" s="356"/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N52" s="612">
        <f t="shared" si="13"/>
        <v>2007</v>
      </c>
      <c r="O52" s="609">
        <f t="shared" si="14"/>
        <v>1213689.4778540342</v>
      </c>
      <c r="P52" s="609">
        <f t="shared" si="15"/>
        <v>616942.18558020808</v>
      </c>
    </row>
    <row r="53" spans="1:16" x14ac:dyDescent="0.2">
      <c r="A53" s="356"/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N53" s="612">
        <f t="shared" si="13"/>
        <v>2008</v>
      </c>
      <c r="O53" s="609">
        <f t="shared" si="14"/>
        <v>1393393.8557439279</v>
      </c>
      <c r="P53" s="609">
        <f t="shared" si="15"/>
        <v>822706.11743943871</v>
      </c>
    </row>
    <row r="54" spans="1:16" x14ac:dyDescent="0.2">
      <c r="A54" s="356"/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N54" s="612">
        <f t="shared" si="13"/>
        <v>2009</v>
      </c>
      <c r="O54" s="609">
        <f t="shared" si="14"/>
        <v>1556915.7010486</v>
      </c>
      <c r="P54" s="609">
        <f t="shared" si="15"/>
        <v>679142.45276880008</v>
      </c>
    </row>
    <row r="55" spans="1:16" x14ac:dyDescent="0.2">
      <c r="A55" s="356"/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N55" s="612">
        <f t="shared" si="13"/>
        <v>2010</v>
      </c>
      <c r="O55" s="609">
        <f t="shared" si="14"/>
        <v>1718589.3030064055</v>
      </c>
      <c r="P55" s="609">
        <f t="shared" si="15"/>
        <v>729945.72519655328</v>
      </c>
    </row>
    <row r="56" spans="1:16" x14ac:dyDescent="0.2">
      <c r="A56" s="356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N56" s="612">
        <f t="shared" si="13"/>
        <v>2011</v>
      </c>
      <c r="O56" s="609">
        <f t="shared" si="14"/>
        <v>1984402.4158051817</v>
      </c>
      <c r="P56" s="609">
        <f t="shared" si="15"/>
        <v>875989.13955361478</v>
      </c>
    </row>
    <row r="57" spans="1:16" x14ac:dyDescent="0.2">
      <c r="A57" s="356"/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N57" s="612">
        <f t="shared" si="13"/>
        <v>2012</v>
      </c>
      <c r="O57" s="609">
        <f t="shared" si="14"/>
        <v>2313676.2538387571</v>
      </c>
      <c r="P57" s="609">
        <f t="shared" si="15"/>
        <v>985449.24548825575</v>
      </c>
    </row>
    <row r="58" spans="1:16" x14ac:dyDescent="0.2">
      <c r="A58" s="356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N58" s="612">
        <f t="shared" si="13"/>
        <v>2013</v>
      </c>
      <c r="O58" s="609">
        <f t="shared" si="14"/>
        <v>2432390.4404826746</v>
      </c>
      <c r="P58" s="609">
        <f t="shared" si="15"/>
        <v>1103835.8889688132</v>
      </c>
    </row>
    <row r="59" spans="1:16" x14ac:dyDescent="0.2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N59" s="612">
        <f t="shared" si="13"/>
        <v>2014</v>
      </c>
      <c r="O59" s="609">
        <f t="shared" si="14"/>
        <v>2788652.8472375898</v>
      </c>
      <c r="P59" s="609">
        <f t="shared" si="15"/>
        <v>1236693.2682361822</v>
      </c>
    </row>
    <row r="60" spans="1:16" x14ac:dyDescent="0.2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N60" s="612">
        <f t="shared" si="13"/>
        <v>2015</v>
      </c>
      <c r="O60" s="609">
        <f t="shared" si="14"/>
        <v>2880093.06</v>
      </c>
      <c r="P60" s="609">
        <f t="shared" si="15"/>
        <v>1291318.33</v>
      </c>
    </row>
    <row r="61" spans="1:16" x14ac:dyDescent="0.2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N61" s="612">
        <f t="shared" si="13"/>
        <v>2016</v>
      </c>
      <c r="O61" s="609">
        <f t="shared" si="14"/>
        <v>2947578.3042463912</v>
      </c>
      <c r="P61" s="609">
        <f t="shared" si="15"/>
        <v>1501878.1512877787</v>
      </c>
    </row>
    <row r="62" spans="1:16" x14ac:dyDescent="0.2">
      <c r="A62" s="356"/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N62" s="612">
        <f t="shared" si="13"/>
        <v>2017</v>
      </c>
      <c r="O62" s="609">
        <f t="shared" si="14"/>
        <v>2915208.574825678</v>
      </c>
      <c r="P62" s="609">
        <f t="shared" si="15"/>
        <v>1564489.5915317368</v>
      </c>
    </row>
    <row r="63" spans="1:16" x14ac:dyDescent="0.2">
      <c r="A63" s="356"/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N63" s="612">
        <v>2018</v>
      </c>
      <c r="O63" s="609">
        <f t="shared" si="14"/>
        <v>3048268.389888241</v>
      </c>
      <c r="P63" s="609">
        <f t="shared" si="15"/>
        <v>1684287.6966351643</v>
      </c>
    </row>
    <row r="64" spans="1:16" x14ac:dyDescent="0.2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N64" s="612">
        <v>2019</v>
      </c>
      <c r="O64" s="609">
        <f t="shared" ref="O64" si="16">+D31</f>
        <v>3151419.017</v>
      </c>
      <c r="P64" s="609">
        <f t="shared" ref="P64" si="17">+E31</f>
        <v>1781290.22</v>
      </c>
    </row>
    <row r="65" spans="1:16" x14ac:dyDescent="0.2">
      <c r="A65" s="356"/>
      <c r="B65" s="356"/>
      <c r="C65" s="356"/>
      <c r="D65" s="356"/>
      <c r="E65" s="356"/>
      <c r="F65" s="356"/>
      <c r="G65" s="356"/>
      <c r="H65" s="356"/>
      <c r="I65" s="356"/>
      <c r="J65" s="356"/>
      <c r="K65" s="356"/>
    </row>
    <row r="66" spans="1:16" x14ac:dyDescent="0.2">
      <c r="A66" s="356"/>
      <c r="B66" s="356"/>
      <c r="C66" s="356"/>
      <c r="D66" s="356"/>
      <c r="E66" s="356"/>
      <c r="F66" s="356"/>
      <c r="G66" s="356"/>
      <c r="H66" s="356"/>
      <c r="I66" s="356"/>
      <c r="J66" s="356"/>
      <c r="K66" s="356"/>
    </row>
    <row r="67" spans="1:16" x14ac:dyDescent="0.2">
      <c r="A67" s="356"/>
      <c r="B67" s="356"/>
      <c r="C67" s="356"/>
      <c r="D67" s="356"/>
      <c r="E67" s="356"/>
      <c r="F67" s="356"/>
      <c r="G67" s="356"/>
      <c r="H67" s="356"/>
      <c r="I67" s="356"/>
      <c r="J67" s="356"/>
      <c r="K67" s="356"/>
      <c r="O67" s="610" t="s">
        <v>10</v>
      </c>
      <c r="P67" s="610" t="s">
        <v>11</v>
      </c>
    </row>
    <row r="68" spans="1:16" x14ac:dyDescent="0.2">
      <c r="A68" s="356"/>
      <c r="B68" s="356"/>
      <c r="C68" s="356"/>
      <c r="D68" s="356"/>
      <c r="E68" s="356"/>
      <c r="F68" s="356"/>
      <c r="G68" s="356"/>
      <c r="H68" s="356"/>
      <c r="I68" s="356"/>
      <c r="J68" s="356"/>
      <c r="K68" s="356"/>
      <c r="N68" s="612">
        <f>+B7</f>
        <v>1995</v>
      </c>
      <c r="O68" s="609">
        <f>+F7</f>
        <v>776779.19139398972</v>
      </c>
      <c r="P68" s="609">
        <f>+I7</f>
        <v>49896.810295752563</v>
      </c>
    </row>
    <row r="69" spans="1:16" x14ac:dyDescent="0.2">
      <c r="A69" s="356"/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N69" s="612">
        <f t="shared" ref="N69:N89" si="18">+B8</f>
        <v>1996</v>
      </c>
      <c r="O69" s="609">
        <f t="shared" ref="O69:O89" si="19">+F8</f>
        <v>822460.27859264216</v>
      </c>
      <c r="P69" s="609">
        <f t="shared" ref="P69:P89" si="20">+I8</f>
        <v>70910.116548175167</v>
      </c>
    </row>
    <row r="70" spans="1:16" x14ac:dyDescent="0.2">
      <c r="A70" s="356"/>
      <c r="B70" s="356"/>
      <c r="C70" s="356"/>
      <c r="D70" s="356"/>
      <c r="E70" s="356"/>
      <c r="F70" s="356"/>
      <c r="G70" s="356"/>
      <c r="H70" s="356"/>
      <c r="I70" s="356"/>
      <c r="J70" s="356"/>
      <c r="K70" s="356"/>
      <c r="N70" s="612">
        <f t="shared" si="18"/>
        <v>1997</v>
      </c>
      <c r="O70" s="609">
        <f t="shared" si="19"/>
        <v>859351.67959043023</v>
      </c>
      <c r="P70" s="609">
        <f t="shared" si="20"/>
        <v>160185.85702650671</v>
      </c>
    </row>
    <row r="71" spans="1:16" x14ac:dyDescent="0.2">
      <c r="A71" s="356"/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N71" s="612">
        <f t="shared" si="18"/>
        <v>1998</v>
      </c>
      <c r="O71" s="609">
        <f t="shared" si="19"/>
        <v>786060.99965563859</v>
      </c>
      <c r="P71" s="609">
        <f t="shared" si="20"/>
        <v>202083.97088961289</v>
      </c>
    </row>
    <row r="72" spans="1:16" x14ac:dyDescent="0.2">
      <c r="A72" s="356"/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N72" s="612">
        <f t="shared" si="18"/>
        <v>1999</v>
      </c>
      <c r="O72" s="609">
        <f t="shared" si="19"/>
        <v>778389.13985393988</v>
      </c>
      <c r="P72" s="609">
        <f t="shared" si="20"/>
        <v>213570.22841279037</v>
      </c>
    </row>
    <row r="73" spans="1:16" x14ac:dyDescent="0.2">
      <c r="A73" s="356"/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N73" s="612">
        <f t="shared" si="18"/>
        <v>2000</v>
      </c>
      <c r="O73" s="609">
        <f t="shared" si="19"/>
        <v>866072.13672822504</v>
      </c>
      <c r="P73" s="609">
        <f t="shared" si="20"/>
        <v>246997.36354015436</v>
      </c>
    </row>
    <row r="74" spans="1:16" x14ac:dyDescent="0.2">
      <c r="A74" s="356"/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N74" s="612">
        <f t="shared" si="18"/>
        <v>2001</v>
      </c>
      <c r="O74" s="609">
        <f t="shared" si="19"/>
        <v>862632.28368588316</v>
      </c>
      <c r="P74" s="609">
        <f t="shared" si="20"/>
        <v>276726.23015266506</v>
      </c>
    </row>
    <row r="75" spans="1:16" x14ac:dyDescent="0.2">
      <c r="A75" s="356"/>
      <c r="B75" s="356"/>
      <c r="C75" s="356"/>
      <c r="D75" s="356"/>
      <c r="E75" s="356"/>
      <c r="F75" s="356"/>
      <c r="G75" s="356"/>
      <c r="H75" s="356"/>
      <c r="I75" s="356"/>
      <c r="J75" s="356"/>
      <c r="K75" s="356"/>
      <c r="N75" s="612">
        <f t="shared" si="18"/>
        <v>2002</v>
      </c>
      <c r="O75" s="609">
        <f t="shared" si="19"/>
        <v>862228.11757443007</v>
      </c>
      <c r="P75" s="609">
        <f t="shared" si="20"/>
        <v>294839.04269330332</v>
      </c>
    </row>
    <row r="76" spans="1:16" x14ac:dyDescent="0.2">
      <c r="A76" s="356"/>
      <c r="B76" s="356"/>
      <c r="C76" s="356"/>
      <c r="D76" s="356"/>
      <c r="E76" s="356"/>
      <c r="F76" s="356"/>
      <c r="G76" s="356"/>
      <c r="H76" s="356"/>
      <c r="I76" s="356"/>
      <c r="J76" s="356"/>
      <c r="K76" s="356"/>
      <c r="N76" s="612">
        <f t="shared" si="18"/>
        <v>2003</v>
      </c>
      <c r="O76" s="609">
        <f t="shared" si="19"/>
        <v>901096.17241545301</v>
      </c>
      <c r="P76" s="609">
        <f t="shared" si="20"/>
        <v>316113.97125522856</v>
      </c>
    </row>
    <row r="77" spans="1:16" x14ac:dyDescent="0.2">
      <c r="A77" s="356"/>
      <c r="B77" s="356"/>
      <c r="C77" s="356"/>
      <c r="D77" s="356"/>
      <c r="E77" s="356"/>
      <c r="F77" s="356"/>
      <c r="G77" s="356"/>
      <c r="H77" s="356"/>
      <c r="I77" s="356"/>
      <c r="J77" s="356"/>
      <c r="K77" s="356"/>
      <c r="N77" s="612">
        <f t="shared" si="18"/>
        <v>2004</v>
      </c>
      <c r="O77" s="609">
        <f t="shared" si="19"/>
        <v>986870.11767828721</v>
      </c>
      <c r="P77" s="609">
        <f t="shared" si="20"/>
        <v>395429.89413182059</v>
      </c>
    </row>
    <row r="78" spans="1:16" x14ac:dyDescent="0.2">
      <c r="A78" s="356"/>
      <c r="B78" s="356"/>
      <c r="C78" s="356"/>
      <c r="D78" s="356"/>
      <c r="E78" s="356"/>
      <c r="F78" s="356"/>
      <c r="G78" s="356"/>
      <c r="H78" s="356"/>
      <c r="I78" s="356"/>
      <c r="J78" s="356"/>
      <c r="K78" s="356"/>
      <c r="N78" s="612">
        <f t="shared" si="18"/>
        <v>2005</v>
      </c>
      <c r="O78" s="609">
        <f t="shared" si="19"/>
        <v>1147775.8928376874</v>
      </c>
      <c r="P78" s="609">
        <f t="shared" si="20"/>
        <v>431433.37825869262</v>
      </c>
    </row>
    <row r="79" spans="1:16" x14ac:dyDescent="0.2">
      <c r="A79" s="356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N79" s="612">
        <f t="shared" si="18"/>
        <v>2006</v>
      </c>
      <c r="O79" s="609">
        <f t="shared" si="19"/>
        <v>1222413.6377595204</v>
      </c>
      <c r="P79" s="609">
        <f t="shared" si="20"/>
        <v>460755.2665463867</v>
      </c>
    </row>
    <row r="80" spans="1:16" x14ac:dyDescent="0.2">
      <c r="A80" s="356"/>
      <c r="B80" s="356"/>
      <c r="C80" s="356"/>
      <c r="D80" s="356"/>
      <c r="E80" s="356"/>
      <c r="F80" s="356"/>
      <c r="G80" s="356"/>
      <c r="H80" s="356"/>
      <c r="I80" s="356"/>
      <c r="J80" s="356"/>
      <c r="K80" s="356"/>
      <c r="N80" s="612">
        <f t="shared" si="18"/>
        <v>2007</v>
      </c>
      <c r="O80" s="609">
        <f t="shared" si="19"/>
        <v>1305447.8754961956</v>
      </c>
      <c r="P80" s="609">
        <f t="shared" si="20"/>
        <v>525183.78793804673</v>
      </c>
    </row>
    <row r="81" spans="1:16" x14ac:dyDescent="0.2">
      <c r="A81" s="356"/>
      <c r="B81" s="356"/>
      <c r="C81" s="356"/>
      <c r="D81" s="356"/>
      <c r="E81" s="356"/>
      <c r="F81" s="356"/>
      <c r="G81" s="356"/>
      <c r="H81" s="356"/>
      <c r="I81" s="356"/>
      <c r="J81" s="356"/>
      <c r="K81" s="356"/>
      <c r="N81" s="612">
        <f t="shared" si="18"/>
        <v>2008</v>
      </c>
      <c r="O81" s="609">
        <f t="shared" si="19"/>
        <v>1501002.7378177985</v>
      </c>
      <c r="P81" s="609">
        <f t="shared" si="20"/>
        <v>715097.23536556808</v>
      </c>
    </row>
    <row r="82" spans="1:16" x14ac:dyDescent="0.2">
      <c r="A82" s="356"/>
      <c r="B82" s="356"/>
      <c r="C82" s="356"/>
      <c r="D82" s="356"/>
      <c r="E82" s="356"/>
      <c r="F82" s="356"/>
      <c r="G82" s="356"/>
      <c r="H82" s="356"/>
      <c r="I82" s="356"/>
      <c r="J82" s="356"/>
      <c r="K82" s="356"/>
      <c r="N82" s="612">
        <f t="shared" si="18"/>
        <v>2009</v>
      </c>
      <c r="O82" s="609">
        <f t="shared" si="19"/>
        <v>1675664.7528214001</v>
      </c>
      <c r="P82" s="609">
        <f t="shared" si="20"/>
        <v>560393.40099600004</v>
      </c>
    </row>
    <row r="83" spans="1:16" x14ac:dyDescent="0.2">
      <c r="A83" s="356"/>
      <c r="B83" s="356"/>
      <c r="C83" s="356"/>
      <c r="D83" s="356"/>
      <c r="E83" s="356"/>
      <c r="F83" s="356"/>
      <c r="G83" s="356"/>
      <c r="H83" s="356"/>
      <c r="I83" s="356"/>
      <c r="J83" s="356"/>
      <c r="K83" s="356"/>
      <c r="N83" s="612">
        <f t="shared" si="18"/>
        <v>2010</v>
      </c>
      <c r="O83" s="609">
        <f t="shared" si="19"/>
        <v>1841104.1163105767</v>
      </c>
      <c r="P83" s="609">
        <f t="shared" si="20"/>
        <v>607430.91189238196</v>
      </c>
    </row>
    <row r="84" spans="1:16" x14ac:dyDescent="0.2">
      <c r="A84" s="356"/>
      <c r="B84" s="356"/>
      <c r="C84" s="356"/>
      <c r="D84" s="356"/>
      <c r="E84" s="356"/>
      <c r="F84" s="356"/>
      <c r="G84" s="356"/>
      <c r="H84" s="356"/>
      <c r="I84" s="356"/>
      <c r="J84" s="356"/>
      <c r="K84" s="356"/>
      <c r="N84" s="612">
        <f t="shared" si="18"/>
        <v>2011</v>
      </c>
      <c r="O84" s="609">
        <f t="shared" si="19"/>
        <v>2130475.7425380684</v>
      </c>
      <c r="P84" s="609">
        <f t="shared" si="20"/>
        <v>729915.81282072817</v>
      </c>
    </row>
    <row r="85" spans="1:16" x14ac:dyDescent="0.2">
      <c r="A85" s="356"/>
      <c r="B85" s="356"/>
      <c r="C85" s="356"/>
      <c r="D85" s="356"/>
      <c r="E85" s="356"/>
      <c r="F85" s="356"/>
      <c r="G85" s="356"/>
      <c r="H85" s="356"/>
      <c r="I85" s="356"/>
      <c r="J85" s="356"/>
      <c r="K85" s="356"/>
      <c r="N85" s="612">
        <f t="shared" si="18"/>
        <v>2012</v>
      </c>
      <c r="O85" s="609">
        <f t="shared" si="19"/>
        <v>2474533.5608113473</v>
      </c>
      <c r="P85" s="609">
        <f t="shared" si="20"/>
        <v>824591.93851566559</v>
      </c>
    </row>
    <row r="86" spans="1:16" x14ac:dyDescent="0.2">
      <c r="A86" s="356"/>
      <c r="B86" s="356"/>
      <c r="C86" s="356"/>
      <c r="D86" s="356"/>
      <c r="E86" s="356"/>
      <c r="F86" s="356"/>
      <c r="G86" s="356"/>
      <c r="H86" s="356"/>
      <c r="I86" s="356"/>
      <c r="J86" s="356"/>
      <c r="K86" s="356"/>
      <c r="N86" s="612">
        <f t="shared" si="18"/>
        <v>2013</v>
      </c>
      <c r="O86" s="609">
        <f t="shared" si="19"/>
        <v>2617666.0377430008</v>
      </c>
      <c r="P86" s="609">
        <f t="shared" si="20"/>
        <v>918560.29170848709</v>
      </c>
    </row>
    <row r="87" spans="1:16" x14ac:dyDescent="0.2">
      <c r="N87" s="612">
        <f t="shared" si="18"/>
        <v>2014</v>
      </c>
      <c r="O87" s="609">
        <f t="shared" si="19"/>
        <v>2974214.4336705087</v>
      </c>
      <c r="P87" s="609">
        <f t="shared" si="20"/>
        <v>1051131.6818032633</v>
      </c>
    </row>
    <row r="88" spans="1:16" x14ac:dyDescent="0.2">
      <c r="N88" s="612">
        <f t="shared" si="18"/>
        <v>2015</v>
      </c>
      <c r="O88" s="609">
        <f t="shared" si="19"/>
        <v>3054173.97</v>
      </c>
      <c r="P88" s="609">
        <f t="shared" si="20"/>
        <v>1117237.4200000002</v>
      </c>
    </row>
    <row r="89" spans="1:16" x14ac:dyDescent="0.2">
      <c r="N89" s="612">
        <f t="shared" si="18"/>
        <v>2016</v>
      </c>
      <c r="O89" s="609">
        <f t="shared" si="19"/>
        <v>3107945.2125680889</v>
      </c>
      <c r="P89" s="609">
        <f t="shared" si="20"/>
        <v>1341511.2429660808</v>
      </c>
    </row>
    <row r="90" spans="1:16" x14ac:dyDescent="0.2">
      <c r="N90" s="612">
        <f>+B29</f>
        <v>2017</v>
      </c>
      <c r="O90" s="609">
        <f>+F29</f>
        <v>3135319.541849813</v>
      </c>
      <c r="P90" s="609">
        <f>+I29</f>
        <v>1344378.6245076021</v>
      </c>
    </row>
    <row r="91" spans="1:16" x14ac:dyDescent="0.2">
      <c r="N91" s="612">
        <f>+B30</f>
        <v>2018</v>
      </c>
      <c r="O91" s="609">
        <f>+F30</f>
        <v>3262079.7526476942</v>
      </c>
      <c r="P91" s="609">
        <f>+I30</f>
        <v>1470476.3338757108</v>
      </c>
    </row>
    <row r="92" spans="1:16" x14ac:dyDescent="0.2">
      <c r="N92" s="612">
        <v>2019</v>
      </c>
      <c r="O92" s="609">
        <f>+F31</f>
        <v>3390349.5109999999</v>
      </c>
      <c r="P92" s="609">
        <f>+I31</f>
        <v>1542359.726</v>
      </c>
    </row>
  </sheetData>
  <mergeCells count="4">
    <mergeCell ref="B4:B5"/>
    <mergeCell ref="C4:E4"/>
    <mergeCell ref="F4:H4"/>
    <mergeCell ref="I4:K4"/>
  </mergeCells>
  <phoneticPr fontId="20" type="noConversion"/>
  <printOptions horizontalCentered="1" verticalCentered="1"/>
  <pageMargins left="0.76" right="0.44" top="1" bottom="1" header="0" footer="0"/>
  <pageSetup paperSize="9" scale="6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view="pageBreakPreview" zoomScale="90" zoomScaleNormal="75" zoomScaleSheetLayoutView="90" workbookViewId="0">
      <selection activeCell="M9" sqref="M9"/>
    </sheetView>
  </sheetViews>
  <sheetFormatPr baseColWidth="10" defaultRowHeight="12.75" x14ac:dyDescent="0.2"/>
  <cols>
    <col min="1" max="1" width="2.85546875" customWidth="1"/>
    <col min="2" max="2" width="22.140625" customWidth="1"/>
    <col min="3" max="3" width="15" customWidth="1"/>
    <col min="4" max="4" width="13.28515625" customWidth="1"/>
    <col min="5" max="5" width="12.7109375" customWidth="1"/>
    <col min="6" max="6" width="14" customWidth="1"/>
    <col min="7" max="7" width="11" customWidth="1"/>
    <col min="8" max="8" width="12.42578125" customWidth="1"/>
    <col min="9" max="9" width="11.7109375" customWidth="1"/>
    <col min="10" max="10" width="11" customWidth="1"/>
    <col min="11" max="11" width="12.28515625" customWidth="1"/>
    <col min="13" max="13" width="15.5703125" customWidth="1"/>
    <col min="14" max="14" width="15.5703125" style="571" customWidth="1"/>
    <col min="15" max="16" width="11.42578125" style="571"/>
    <col min="19" max="19" width="11.85546875" bestFit="1" customWidth="1"/>
    <col min="20" max="22" width="12.85546875" bestFit="1" customWidth="1"/>
  </cols>
  <sheetData>
    <row r="1" spans="1:16" ht="15.75" x14ac:dyDescent="0.25">
      <c r="A1" s="635" t="s">
        <v>213</v>
      </c>
    </row>
    <row r="2" spans="1:16" ht="15" x14ac:dyDescent="0.25">
      <c r="C2" s="1"/>
      <c r="D2" s="1"/>
      <c r="E2" s="1"/>
      <c r="F2" s="1"/>
      <c r="G2" s="1"/>
      <c r="H2" s="2"/>
      <c r="I2" s="2"/>
      <c r="J2" s="2"/>
      <c r="K2" s="2"/>
    </row>
    <row r="3" spans="1:16" ht="13.5" thickBot="1" x14ac:dyDescent="0.25"/>
    <row r="4" spans="1:16" s="7" customFormat="1" ht="14.25" customHeight="1" x14ac:dyDescent="0.2">
      <c r="B4" s="1282" t="s">
        <v>18</v>
      </c>
      <c r="C4" s="1288" t="s">
        <v>50</v>
      </c>
      <c r="D4" s="1289"/>
      <c r="E4" s="1289"/>
      <c r="F4" s="1288" t="s">
        <v>10</v>
      </c>
      <c r="G4" s="1289"/>
      <c r="H4" s="1290"/>
      <c r="I4" s="1289" t="s">
        <v>11</v>
      </c>
      <c r="J4" s="1289"/>
      <c r="K4" s="1291"/>
      <c r="N4" s="634"/>
      <c r="O4" s="634"/>
      <c r="P4" s="634"/>
    </row>
    <row r="5" spans="1:16" s="7" customFormat="1" ht="14.25" customHeight="1" x14ac:dyDescent="0.2">
      <c r="B5" s="1283"/>
      <c r="C5" s="1179" t="s">
        <v>0</v>
      </c>
      <c r="D5" s="1180" t="s">
        <v>16</v>
      </c>
      <c r="E5" s="1181" t="s">
        <v>17</v>
      </c>
      <c r="F5" s="1182" t="s">
        <v>12</v>
      </c>
      <c r="G5" s="1183" t="s">
        <v>16</v>
      </c>
      <c r="H5" s="1183" t="s">
        <v>17</v>
      </c>
      <c r="I5" s="1181" t="s">
        <v>0</v>
      </c>
      <c r="J5" s="1180" t="s">
        <v>16</v>
      </c>
      <c r="K5" s="1184" t="s">
        <v>17</v>
      </c>
      <c r="N5" s="634"/>
      <c r="O5" s="634" t="s">
        <v>16</v>
      </c>
      <c r="P5" s="634" t="s">
        <v>17</v>
      </c>
    </row>
    <row r="6" spans="1:16" x14ac:dyDescent="0.2">
      <c r="B6" s="605"/>
      <c r="C6" s="606"/>
      <c r="D6" s="659"/>
      <c r="E6" s="660"/>
      <c r="F6" s="607"/>
      <c r="G6" s="659"/>
      <c r="H6" s="675"/>
      <c r="I6" s="608"/>
      <c r="J6" s="659"/>
      <c r="K6" s="660"/>
    </row>
    <row r="7" spans="1:16" x14ac:dyDescent="0.2">
      <c r="B7" s="44">
        <v>1995</v>
      </c>
      <c r="C7" s="1003">
        <v>8.3932836241269282</v>
      </c>
      <c r="D7" s="1004">
        <f>G7</f>
        <v>10.148610371781364</v>
      </c>
      <c r="E7" s="1005">
        <v>5.0917768788358657</v>
      </c>
      <c r="F7" s="1006">
        <v>8.9555606852646115</v>
      </c>
      <c r="G7" s="1004">
        <v>10.148610371781364</v>
      </c>
      <c r="H7" s="1007">
        <v>5.5357375593344766</v>
      </c>
      <c r="I7" s="1008">
        <f>K7</f>
        <v>4.2445573090579085</v>
      </c>
      <c r="J7" s="1004"/>
      <c r="K7" s="1005">
        <v>4.2445573090579085</v>
      </c>
      <c r="L7" s="5"/>
      <c r="M7" s="12"/>
      <c r="N7" s="583">
        <v>95</v>
      </c>
      <c r="O7" s="572">
        <f>+D7</f>
        <v>10.148610371781364</v>
      </c>
      <c r="P7" s="572">
        <f>+E7</f>
        <v>5.0917768788358657</v>
      </c>
    </row>
    <row r="8" spans="1:16" x14ac:dyDescent="0.2">
      <c r="B8" s="18">
        <v>1996</v>
      </c>
      <c r="C8" s="1009">
        <v>8.647606873247458</v>
      </c>
      <c r="D8" s="1010">
        <f t="shared" ref="D8:D25" si="0">G8</f>
        <v>10.37984664865154</v>
      </c>
      <c r="E8" s="1011">
        <v>5.3374765504742943</v>
      </c>
      <c r="F8" s="1012">
        <v>9.3774573213785253</v>
      </c>
      <c r="G8" s="1010">
        <v>10.37984664865154</v>
      </c>
      <c r="H8" s="1013">
        <v>5.9592969871676909</v>
      </c>
      <c r="I8" s="1014">
        <f t="shared" ref="I8:I22" si="1">K8</f>
        <v>4.5448535324028105</v>
      </c>
      <c r="J8" s="1010"/>
      <c r="K8" s="1011">
        <v>4.5448535324028105</v>
      </c>
      <c r="L8" s="5"/>
      <c r="M8" s="12"/>
      <c r="N8" s="583">
        <v>96</v>
      </c>
      <c r="O8" s="572">
        <f t="shared" ref="O8:O28" si="2">+D8</f>
        <v>10.37984664865154</v>
      </c>
      <c r="P8" s="572">
        <f t="shared" ref="P8:P28" si="3">+E8</f>
        <v>5.3374765504742943</v>
      </c>
    </row>
    <row r="9" spans="1:16" x14ac:dyDescent="0.2">
      <c r="B9" s="44">
        <v>1997</v>
      </c>
      <c r="C9" s="1003">
        <v>8.1882474543939985</v>
      </c>
      <c r="D9" s="1004">
        <f t="shared" si="0"/>
        <v>10.146978053246057</v>
      </c>
      <c r="E9" s="1005">
        <v>5.4201200311090698</v>
      </c>
      <c r="F9" s="1006">
        <v>9.1635885122824927</v>
      </c>
      <c r="G9" s="1004">
        <v>10.146978053246057</v>
      </c>
      <c r="H9" s="1007">
        <v>5.7265372648894912</v>
      </c>
      <c r="I9" s="1008">
        <f t="shared" si="1"/>
        <v>5.2121175208150961</v>
      </c>
      <c r="J9" s="1004"/>
      <c r="K9" s="1005">
        <v>5.2121175208150961</v>
      </c>
      <c r="L9" s="5"/>
      <c r="M9" s="12"/>
      <c r="N9" s="583">
        <v>97</v>
      </c>
      <c r="O9" s="572">
        <f t="shared" si="2"/>
        <v>10.146978053246057</v>
      </c>
      <c r="P9" s="572">
        <f t="shared" si="3"/>
        <v>5.4201200311090698</v>
      </c>
    </row>
    <row r="10" spans="1:16" x14ac:dyDescent="0.2">
      <c r="B10" s="18">
        <v>1998</v>
      </c>
      <c r="C10" s="1009">
        <v>7.0538569551395423</v>
      </c>
      <c r="D10" s="1010">
        <f t="shared" si="0"/>
        <v>8.753240333635766</v>
      </c>
      <c r="E10" s="1011">
        <v>4.9459578496514798</v>
      </c>
      <c r="F10" s="1012">
        <v>7.9571609356886182</v>
      </c>
      <c r="G10" s="1010">
        <v>8.753240333635766</v>
      </c>
      <c r="H10" s="1013">
        <v>5.0486463977806757</v>
      </c>
      <c r="I10" s="1014">
        <f t="shared" si="1"/>
        <v>4.8931747664703975</v>
      </c>
      <c r="J10" s="1010"/>
      <c r="K10" s="1011">
        <v>4.8931747664703975</v>
      </c>
      <c r="L10" s="5"/>
      <c r="M10" s="12"/>
      <c r="N10" s="583">
        <v>98</v>
      </c>
      <c r="O10" s="572">
        <f t="shared" si="2"/>
        <v>8.753240333635766</v>
      </c>
      <c r="P10" s="572">
        <f t="shared" si="3"/>
        <v>4.9459578496514798</v>
      </c>
    </row>
    <row r="11" spans="1:16" x14ac:dyDescent="0.2">
      <c r="B11" s="44">
        <v>1999</v>
      </c>
      <c r="C11" s="1003">
        <v>6.7979710943220208</v>
      </c>
      <c r="D11" s="1004">
        <f t="shared" si="0"/>
        <v>8.3066426364644457</v>
      </c>
      <c r="E11" s="1005">
        <v>4.9301915818936246</v>
      </c>
      <c r="F11" s="1006">
        <v>7.6320210282889089</v>
      </c>
      <c r="G11" s="1004">
        <v>8.3066426364644457</v>
      </c>
      <c r="H11" s="1007">
        <v>5.0718506766791807</v>
      </c>
      <c r="I11" s="1008">
        <f t="shared" si="1"/>
        <v>4.8616026075361827</v>
      </c>
      <c r="J11" s="1004"/>
      <c r="K11" s="1005">
        <v>4.8616026075361827</v>
      </c>
      <c r="L11" s="5"/>
      <c r="M11" s="12"/>
      <c r="N11" s="583">
        <v>99</v>
      </c>
      <c r="O11" s="572">
        <f t="shared" si="2"/>
        <v>8.3066426364644457</v>
      </c>
      <c r="P11" s="572">
        <f t="shared" si="3"/>
        <v>4.9301915818936246</v>
      </c>
    </row>
    <row r="12" spans="1:16" x14ac:dyDescent="0.2">
      <c r="B12" s="18">
        <v>2000</v>
      </c>
      <c r="C12" s="1009">
        <v>7.1600313284956645</v>
      </c>
      <c r="D12" s="1010">
        <f t="shared" si="0"/>
        <v>8.8063395358146757</v>
      </c>
      <c r="E12" s="1011">
        <v>5.2213140505014408</v>
      </c>
      <c r="F12" s="1012">
        <v>8.0465527241033001</v>
      </c>
      <c r="G12" s="1010">
        <v>8.8063395358146757</v>
      </c>
      <c r="H12" s="1013">
        <v>5.3360143471179855</v>
      </c>
      <c r="I12" s="1014">
        <f t="shared" si="1"/>
        <v>5.1647954842633439</v>
      </c>
      <c r="J12" s="1010"/>
      <c r="K12" s="1011">
        <v>5.1647954842633439</v>
      </c>
      <c r="L12" s="5"/>
      <c r="M12" s="12"/>
      <c r="N12" s="583" t="s">
        <v>190</v>
      </c>
      <c r="O12" s="572">
        <f t="shared" si="2"/>
        <v>8.8063395358146757</v>
      </c>
      <c r="P12" s="572">
        <f t="shared" si="3"/>
        <v>5.2213140505014408</v>
      </c>
    </row>
    <row r="13" spans="1:16" x14ac:dyDescent="0.2">
      <c r="B13" s="44">
        <v>2001</v>
      </c>
      <c r="C13" s="1003">
        <v>6.8517181867515884</v>
      </c>
      <c r="D13" s="1004">
        <f t="shared" si="0"/>
        <v>8.7949736111824013</v>
      </c>
      <c r="E13" s="1005">
        <v>4.7425532789429576</v>
      </c>
      <c r="F13" s="1006">
        <v>8.1980760639170676</v>
      </c>
      <c r="G13" s="1004">
        <v>8.7949736111824013</v>
      </c>
      <c r="H13" s="1007">
        <v>5.4318103535360782</v>
      </c>
      <c r="I13" s="1008">
        <f t="shared" si="1"/>
        <v>4.5317559390314024</v>
      </c>
      <c r="J13" s="1004"/>
      <c r="K13" s="1005">
        <v>4.5317559390314024</v>
      </c>
      <c r="L13" s="5"/>
      <c r="M13" s="12"/>
      <c r="N13" s="583" t="s">
        <v>191</v>
      </c>
      <c r="O13" s="572">
        <f t="shared" si="2"/>
        <v>8.7949736111824013</v>
      </c>
      <c r="P13" s="572">
        <f t="shared" si="3"/>
        <v>4.7425532789429576</v>
      </c>
    </row>
    <row r="14" spans="1:16" x14ac:dyDescent="0.2">
      <c r="B14" s="18">
        <v>2002</v>
      </c>
      <c r="C14" s="1009">
        <v>6.5722564065548337</v>
      </c>
      <c r="D14" s="1010">
        <f t="shared" si="0"/>
        <v>8.2905260118522683</v>
      </c>
      <c r="E14" s="1011">
        <v>4.6821377072021297</v>
      </c>
      <c r="F14" s="1012">
        <v>7.758352080828165</v>
      </c>
      <c r="G14" s="1010">
        <v>8.2905260118522683</v>
      </c>
      <c r="H14" s="1013">
        <v>5.1639888849993891</v>
      </c>
      <c r="I14" s="1014">
        <f t="shared" si="1"/>
        <v>4.5417296862557039</v>
      </c>
      <c r="J14" s="1015"/>
      <c r="K14" s="1011">
        <v>4.5417296862557039</v>
      </c>
      <c r="L14" s="5"/>
      <c r="M14" s="12"/>
      <c r="N14" s="583" t="s">
        <v>192</v>
      </c>
      <c r="O14" s="572">
        <f t="shared" si="2"/>
        <v>8.2905260118522683</v>
      </c>
      <c r="P14" s="572">
        <f t="shared" si="3"/>
        <v>4.6821377072021297</v>
      </c>
    </row>
    <row r="15" spans="1:16" x14ac:dyDescent="0.2">
      <c r="B15" s="44">
        <v>2003</v>
      </c>
      <c r="C15" s="1003">
        <v>6.6241519760682381</v>
      </c>
      <c r="D15" s="1004">
        <f t="shared" si="0"/>
        <v>8.4395468219330851</v>
      </c>
      <c r="E15" s="1005">
        <v>4.6334748884993324</v>
      </c>
      <c r="F15" s="1006">
        <v>7.971753161907678</v>
      </c>
      <c r="G15" s="1004">
        <v>8.4395468219330851</v>
      </c>
      <c r="H15" s="1007">
        <v>5.315913767730283</v>
      </c>
      <c r="I15" s="1008">
        <f t="shared" si="1"/>
        <v>4.4701131993241967</v>
      </c>
      <c r="J15" s="1004"/>
      <c r="K15" s="1005">
        <v>4.4701131993241967</v>
      </c>
      <c r="L15" s="5"/>
      <c r="M15" s="12"/>
      <c r="N15" s="583" t="s">
        <v>193</v>
      </c>
      <c r="O15" s="572">
        <f t="shared" si="2"/>
        <v>8.4395468219330851</v>
      </c>
      <c r="P15" s="572">
        <f t="shared" si="3"/>
        <v>4.6334748884993324</v>
      </c>
    </row>
    <row r="16" spans="1:16" x14ac:dyDescent="0.2">
      <c r="B16" s="18">
        <v>2004</v>
      </c>
      <c r="C16" s="1009">
        <v>7.0379541088956712</v>
      </c>
      <c r="D16" s="1010">
        <f t="shared" si="0"/>
        <v>8.6742016054190874</v>
      </c>
      <c r="E16" s="1011">
        <v>5.2142013164260836</v>
      </c>
      <c r="F16" s="1012">
        <v>8.2230231770089492</v>
      </c>
      <c r="G16" s="1010">
        <v>8.6742016054190874</v>
      </c>
      <c r="H16" s="1013">
        <v>5.3901465775055355</v>
      </c>
      <c r="I16" s="1014">
        <f t="shared" si="1"/>
        <v>5.1762271900611463</v>
      </c>
      <c r="J16" s="1015"/>
      <c r="K16" s="1011">
        <v>5.1762271900611463</v>
      </c>
      <c r="L16" s="5"/>
      <c r="M16" s="12"/>
      <c r="N16" s="583" t="s">
        <v>194</v>
      </c>
      <c r="O16" s="572">
        <f t="shared" si="2"/>
        <v>8.6742016054190874</v>
      </c>
      <c r="P16" s="572">
        <f t="shared" si="3"/>
        <v>5.2142013164260836</v>
      </c>
    </row>
    <row r="17" spans="2:16" x14ac:dyDescent="0.2">
      <c r="B17" s="44">
        <v>2005</v>
      </c>
      <c r="C17" s="1003">
        <v>7.6295174613677208</v>
      </c>
      <c r="D17" s="1004">
        <f t="shared" si="0"/>
        <v>9.4007778088619069</v>
      </c>
      <c r="E17" s="1005">
        <v>5.5617579225654694</v>
      </c>
      <c r="F17" s="1006">
        <v>8.8884914595819442</v>
      </c>
      <c r="G17" s="1004">
        <v>9.4007778088619069</v>
      </c>
      <c r="H17" s="1007">
        <v>5.650701414642656</v>
      </c>
      <c r="I17" s="1008">
        <f t="shared" si="1"/>
        <v>5.5416076080909722</v>
      </c>
      <c r="J17" s="1004"/>
      <c r="K17" s="1005">
        <v>5.5416076080909722</v>
      </c>
      <c r="L17" s="5"/>
      <c r="M17" s="12"/>
      <c r="N17" s="583" t="s">
        <v>195</v>
      </c>
      <c r="O17" s="572">
        <f t="shared" si="2"/>
        <v>9.4007778088619069</v>
      </c>
      <c r="P17" s="572">
        <f t="shared" si="3"/>
        <v>5.5617579225654694</v>
      </c>
    </row>
    <row r="18" spans="2:16" x14ac:dyDescent="0.2">
      <c r="B18" s="18">
        <v>2006</v>
      </c>
      <c r="C18" s="1009">
        <v>7.5478896322436135</v>
      </c>
      <c r="D18" s="1010">
        <f t="shared" si="0"/>
        <v>9.2054198190234704</v>
      </c>
      <c r="E18" s="1011">
        <v>5.5547819540921299</v>
      </c>
      <c r="F18" s="1012">
        <v>8.7025840778489254</v>
      </c>
      <c r="G18" s="1010">
        <v>9.2054198190234704</v>
      </c>
      <c r="H18" s="1013">
        <v>5.4374484419028404</v>
      </c>
      <c r="I18" s="1014">
        <f t="shared" si="1"/>
        <v>5.581447756240201</v>
      </c>
      <c r="J18" s="1015"/>
      <c r="K18" s="1011">
        <v>5.581447756240201</v>
      </c>
      <c r="L18" s="5"/>
      <c r="M18" s="12"/>
      <c r="N18" s="583" t="s">
        <v>196</v>
      </c>
      <c r="O18" s="572">
        <f t="shared" si="2"/>
        <v>9.2054198190234704</v>
      </c>
      <c r="P18" s="572">
        <f t="shared" si="3"/>
        <v>5.5547819540921299</v>
      </c>
    </row>
    <row r="19" spans="2:16" x14ac:dyDescent="0.2">
      <c r="B19" s="44">
        <v>2007</v>
      </c>
      <c r="C19" s="1003">
        <v>7.4049441102825799</v>
      </c>
      <c r="D19" s="1004">
        <f t="shared" si="0"/>
        <v>9.0939060573690185</v>
      </c>
      <c r="E19" s="1005">
        <v>5.4233986202754707</v>
      </c>
      <c r="F19" s="1006">
        <v>8.6843545064319656</v>
      </c>
      <c r="G19" s="1004">
        <v>9.0939060573690185</v>
      </c>
      <c r="H19" s="1007">
        <v>5.4423840053332935</v>
      </c>
      <c r="I19" s="1008">
        <f t="shared" si="1"/>
        <v>5.4200951405339648</v>
      </c>
      <c r="J19" s="1004"/>
      <c r="K19" s="1005">
        <v>5.4200951405339648</v>
      </c>
      <c r="L19" s="5"/>
      <c r="M19" s="12"/>
      <c r="N19" s="583" t="s">
        <v>197</v>
      </c>
      <c r="O19" s="572">
        <f t="shared" si="2"/>
        <v>9.0939060573690185</v>
      </c>
      <c r="P19" s="572">
        <f t="shared" si="3"/>
        <v>5.4233986202754707</v>
      </c>
    </row>
    <row r="20" spans="2:16" x14ac:dyDescent="0.2">
      <c r="B20" s="18">
        <v>2008</v>
      </c>
      <c r="C20" s="1009">
        <v>8.2186096245238396</v>
      </c>
      <c r="D20" s="1010">
        <f t="shared" si="0"/>
        <v>9.5638093579048657</v>
      </c>
      <c r="E20" s="1011">
        <v>6.63741891099464</v>
      </c>
      <c r="F20" s="1012">
        <v>9.2102011270063144</v>
      </c>
      <c r="G20" s="1010">
        <v>9.5638093579048657</v>
      </c>
      <c r="H20" s="1013">
        <v>6.2283301309714529</v>
      </c>
      <c r="I20" s="1014">
        <f t="shared" si="1"/>
        <v>6.703677483775019</v>
      </c>
      <c r="J20" s="1015"/>
      <c r="K20" s="1011">
        <v>6.703677483775019</v>
      </c>
      <c r="L20" s="5"/>
      <c r="M20" s="12"/>
      <c r="N20" s="583" t="s">
        <v>198</v>
      </c>
      <c r="O20" s="572">
        <f t="shared" si="2"/>
        <v>9.5638093579048657</v>
      </c>
      <c r="P20" s="572">
        <f t="shared" si="3"/>
        <v>6.63741891099464</v>
      </c>
    </row>
    <row r="21" spans="2:16" x14ac:dyDescent="0.2">
      <c r="B21" s="44">
        <v>2009</v>
      </c>
      <c r="C21" s="1003">
        <v>8.2550953480745317</v>
      </c>
      <c r="D21" s="1004">
        <f t="shared" si="0"/>
        <v>10.220209425572106</v>
      </c>
      <c r="E21" s="1005">
        <v>5.7155802776107931</v>
      </c>
      <c r="F21" s="1006">
        <v>9.8347670342884221</v>
      </c>
      <c r="G21" s="1004">
        <v>10.220209425572106</v>
      </c>
      <c r="H21" s="1007">
        <v>6.5731995125609881</v>
      </c>
      <c r="I21" s="1008">
        <f t="shared" si="1"/>
        <v>5.6537603270098931</v>
      </c>
      <c r="J21" s="1004"/>
      <c r="K21" s="1005">
        <v>5.6537603270098931</v>
      </c>
      <c r="L21" s="5"/>
      <c r="M21" s="12"/>
      <c r="N21" s="583" t="s">
        <v>199</v>
      </c>
      <c r="O21" s="572">
        <f t="shared" si="2"/>
        <v>10.220209425572106</v>
      </c>
      <c r="P21" s="572">
        <f t="shared" si="3"/>
        <v>5.7155802776107931</v>
      </c>
    </row>
    <row r="22" spans="2:16" x14ac:dyDescent="0.2">
      <c r="B22" s="18">
        <v>2010</v>
      </c>
      <c r="C22" s="1009">
        <v>8.3181154409106988</v>
      </c>
      <c r="D22" s="1010">
        <f t="shared" si="0"/>
        <v>10.459527312900395</v>
      </c>
      <c r="E22" s="1011">
        <v>5.6126682737488451</v>
      </c>
      <c r="F22" s="1012">
        <v>10.118555763056673</v>
      </c>
      <c r="G22" s="1010">
        <v>10.459527312900395</v>
      </c>
      <c r="H22" s="1013">
        <v>6.9434163707427059</v>
      </c>
      <c r="I22" s="1014">
        <f t="shared" si="1"/>
        <v>5.4037809461686521</v>
      </c>
      <c r="J22" s="1015"/>
      <c r="K22" s="1011">
        <v>5.4037809461686521</v>
      </c>
      <c r="L22" s="5"/>
      <c r="M22" s="12"/>
      <c r="N22" s="583" t="s">
        <v>200</v>
      </c>
      <c r="O22" s="572">
        <f t="shared" si="2"/>
        <v>10.459527312900395</v>
      </c>
      <c r="P22" s="572">
        <f t="shared" si="3"/>
        <v>5.6126682737488451</v>
      </c>
    </row>
    <row r="23" spans="2:16" x14ac:dyDescent="0.2">
      <c r="B23" s="44">
        <v>2011</v>
      </c>
      <c r="C23" s="1003">
        <v>8.9891892545910128</v>
      </c>
      <c r="D23" s="1004">
        <v>11.091278800848533</v>
      </c>
      <c r="E23" s="1005">
        <v>6.2890521736374838</v>
      </c>
      <c r="F23" s="1006">
        <v>10.785887035062256</v>
      </c>
      <c r="G23" s="1004">
        <v>11.091278800848533</v>
      </c>
      <c r="H23" s="1007">
        <v>7.8471430858597868</v>
      </c>
      <c r="I23" s="1008">
        <v>6.0487035318323148</v>
      </c>
      <c r="J23" s="1004"/>
      <c r="K23" s="1005">
        <v>6.048703533336055</v>
      </c>
      <c r="L23" s="5"/>
      <c r="M23" s="12"/>
      <c r="N23" s="583" t="s">
        <v>201</v>
      </c>
      <c r="O23" s="572">
        <f t="shared" si="2"/>
        <v>11.091278800848533</v>
      </c>
      <c r="P23" s="572">
        <f t="shared" si="3"/>
        <v>6.2890521736374838</v>
      </c>
    </row>
    <row r="24" spans="2:16" x14ac:dyDescent="0.2">
      <c r="B24" s="18">
        <v>2012</v>
      </c>
      <c r="C24" s="1009">
        <v>9.8047648265499703</v>
      </c>
      <c r="D24" s="1010">
        <f t="shared" si="0"/>
        <v>12.201537385477197</v>
      </c>
      <c r="E24" s="1011">
        <v>6.7101196509343097</v>
      </c>
      <c r="F24" s="1012">
        <v>11.813141103914758</v>
      </c>
      <c r="G24" s="1010">
        <v>12.201537385477197</v>
      </c>
      <c r="H24" s="1013">
        <v>8.1031305793669972</v>
      </c>
      <c r="I24" s="1016">
        <v>6.4923946475231222</v>
      </c>
      <c r="J24" s="1015"/>
      <c r="K24" s="1011">
        <v>6.4923946475231222</v>
      </c>
      <c r="L24" s="5"/>
      <c r="M24" s="12"/>
      <c r="N24" s="583" t="s">
        <v>202</v>
      </c>
      <c r="O24" s="572">
        <f t="shared" si="2"/>
        <v>12.201537385477197</v>
      </c>
      <c r="P24" s="572">
        <f t="shared" si="3"/>
        <v>6.7101196509343097</v>
      </c>
    </row>
    <row r="25" spans="2:16" x14ac:dyDescent="0.2">
      <c r="B25" s="44">
        <v>2013</v>
      </c>
      <c r="C25" s="1003">
        <v>9.9302969097620828</v>
      </c>
      <c r="D25" s="1004">
        <f t="shared" si="0"/>
        <v>12.233886288512146</v>
      </c>
      <c r="E25" s="1005">
        <v>7.018250600117379</v>
      </c>
      <c r="F25" s="1006">
        <v>11.933029674417638</v>
      </c>
      <c r="G25" s="1004">
        <v>12.233886288512146</v>
      </c>
      <c r="H25" s="1007">
        <v>9.0206498419619479</v>
      </c>
      <c r="I25" s="1008">
        <v>6.7174837111051282</v>
      </c>
      <c r="J25" s="1004"/>
      <c r="K25" s="1005">
        <v>6.7174837111051282</v>
      </c>
      <c r="L25" s="5"/>
      <c r="M25" s="12"/>
      <c r="N25" s="583" t="s">
        <v>203</v>
      </c>
      <c r="O25" s="572">
        <f t="shared" si="2"/>
        <v>12.233886288512146</v>
      </c>
      <c r="P25" s="572">
        <f t="shared" si="3"/>
        <v>7.018250600117379</v>
      </c>
    </row>
    <row r="26" spans="2:16" x14ac:dyDescent="0.2">
      <c r="B26" s="18">
        <v>2014</v>
      </c>
      <c r="C26" s="1009">
        <v>10.783782050828528</v>
      </c>
      <c r="D26" s="1010">
        <v>13.430247970776314</v>
      </c>
      <c r="E26" s="1011">
        <v>7.4662387275736641</v>
      </c>
      <c r="F26" s="1012">
        <v>13.055122860006383</v>
      </c>
      <c r="G26" s="1010">
        <v>13.430247970776314</v>
      </c>
      <c r="H26" s="1013">
        <v>9.1953187125424485</v>
      </c>
      <c r="I26" s="1016">
        <v>7.2263562019802521</v>
      </c>
      <c r="J26" s="1015"/>
      <c r="K26" s="1011">
        <v>7.2263562019802521</v>
      </c>
      <c r="L26" s="5"/>
      <c r="N26" s="571">
        <v>14</v>
      </c>
      <c r="O26" s="572">
        <f t="shared" si="2"/>
        <v>13.430247970776314</v>
      </c>
      <c r="P26" s="572">
        <f t="shared" si="3"/>
        <v>7.4662387275736641</v>
      </c>
    </row>
    <row r="27" spans="2:16" x14ac:dyDescent="0.2">
      <c r="B27" s="44">
        <v>2015</v>
      </c>
      <c r="C27" s="1003">
        <v>10.487588121433216</v>
      </c>
      <c r="D27" s="1004">
        <v>13.400122753255285</v>
      </c>
      <c r="E27" s="1005">
        <v>7.0634440169455273</v>
      </c>
      <c r="F27" s="1006">
        <v>12.999798046403393</v>
      </c>
      <c r="G27" s="1004">
        <v>13.400122753255285</v>
      </c>
      <c r="H27" s="1007">
        <v>8.6997999976011684</v>
      </c>
      <c r="I27" s="1008">
        <v>6.8623284465367806</v>
      </c>
      <c r="J27" s="1004"/>
      <c r="K27" s="1005">
        <v>6.8623284465367806</v>
      </c>
      <c r="L27" s="5"/>
      <c r="N27" s="583">
        <v>15</v>
      </c>
      <c r="O27" s="572">
        <f t="shared" si="2"/>
        <v>13.400122753255285</v>
      </c>
      <c r="P27" s="572">
        <f t="shared" si="3"/>
        <v>7.0634440169455273</v>
      </c>
    </row>
    <row r="28" spans="2:16" x14ac:dyDescent="0.2">
      <c r="B28" s="40">
        <v>2016</v>
      </c>
      <c r="C28" s="1017">
        <v>10.260005411433578</v>
      </c>
      <c r="D28" s="1010">
        <v>14.126765809264075</v>
      </c>
      <c r="E28" s="1011">
        <v>6.6744810766796219</v>
      </c>
      <c r="F28" s="1012">
        <v>13.579918199627539</v>
      </c>
      <c r="G28" s="1018">
        <v>14.126765809264075</v>
      </c>
      <c r="H28" s="1019">
        <v>7.9345181325819762</v>
      </c>
      <c r="I28" s="1016">
        <v>6.550134616721996</v>
      </c>
      <c r="J28" s="1015"/>
      <c r="K28" s="1020">
        <v>6.550134616721996</v>
      </c>
      <c r="L28" s="5"/>
      <c r="N28" s="583">
        <v>16</v>
      </c>
      <c r="O28" s="572">
        <f t="shared" si="2"/>
        <v>14.126765809264075</v>
      </c>
      <c r="P28" s="572">
        <f t="shared" si="3"/>
        <v>6.6744810766796219</v>
      </c>
    </row>
    <row r="29" spans="2:16" x14ac:dyDescent="0.2">
      <c r="B29" s="827">
        <v>2017</v>
      </c>
      <c r="C29" s="1003">
        <v>10.129734655357632</v>
      </c>
      <c r="D29" s="1004">
        <v>14.975888443120429</v>
      </c>
      <c r="E29" s="1005">
        <v>6.3193218652866952</v>
      </c>
      <c r="F29" s="1006">
        <v>13.997247654672359</v>
      </c>
      <c r="G29" s="1004">
        <v>14.975888443120429</v>
      </c>
      <c r="H29" s="1007">
        <v>7.5032824093331696</v>
      </c>
      <c r="I29" s="1008">
        <v>6.1601746495097007</v>
      </c>
      <c r="J29" s="1004"/>
      <c r="K29" s="1005">
        <v>6.1601746495097007</v>
      </c>
      <c r="L29" s="5"/>
      <c r="N29" s="583">
        <v>17</v>
      </c>
      <c r="O29" s="572">
        <f t="shared" ref="O29:P31" si="4">+D29</f>
        <v>14.975888443120429</v>
      </c>
      <c r="P29" s="572">
        <f t="shared" si="4"/>
        <v>6.3193218652866952</v>
      </c>
    </row>
    <row r="30" spans="2:16" x14ac:dyDescent="0.2">
      <c r="B30" s="784">
        <v>2018</v>
      </c>
      <c r="C30" s="1103">
        <v>10.317820651839479</v>
      </c>
      <c r="D30" s="1018">
        <v>15.917877337999185</v>
      </c>
      <c r="E30" s="1020">
        <v>6.3039862385552512</v>
      </c>
      <c r="F30" s="1104">
        <v>14.778011489255359</v>
      </c>
      <c r="G30" s="1018">
        <v>15.917877337999185</v>
      </c>
      <c r="H30" s="1019">
        <v>7.3125227943033844</v>
      </c>
      <c r="I30" s="1105">
        <v>6.1800525650171405</v>
      </c>
      <c r="J30" s="1106"/>
      <c r="K30" s="1020">
        <v>6.1800525650171405</v>
      </c>
      <c r="L30" s="5"/>
      <c r="N30" s="583">
        <v>18</v>
      </c>
      <c r="O30" s="572">
        <f t="shared" si="4"/>
        <v>15.917877337999185</v>
      </c>
      <c r="P30" s="572">
        <f t="shared" si="4"/>
        <v>6.3039862385552512</v>
      </c>
    </row>
    <row r="31" spans="2:16" x14ac:dyDescent="0.2">
      <c r="B31" s="827">
        <v>2019</v>
      </c>
      <c r="C31" s="1003">
        <f>('10.7 Facturacion'!C31*100000)/('10.6 Ventas'!C31*1000000)</f>
        <v>10.402008602552257</v>
      </c>
      <c r="D31" s="1004">
        <f>('10.7 Facturacion'!D31*100000)/('10.6 Ventas'!D31*1000000)</f>
        <v>16.466857230678755</v>
      </c>
      <c r="E31" s="1005">
        <f>('10.7 Facturacion'!E31*100000)/('10.6 Ventas'!E31*1000000)</f>
        <v>6.2981424214598221</v>
      </c>
      <c r="F31" s="1006">
        <f>('10.7 Facturacion'!F31*100000)/('10.6 Ventas'!F31*1000000)</f>
        <v>15.165939480098434</v>
      </c>
      <c r="G31" s="1004">
        <f>('10.7 Facturacion'!G31*100000)/('10.6 Ventas'!G31*1000000)</f>
        <v>16.466857230678755</v>
      </c>
      <c r="H31" s="1007">
        <f>('10.7 Facturacion'!H31*100000)/('10.6 Ventas'!H31*1000000)</f>
        <v>7.4269505793011339</v>
      </c>
      <c r="I31" s="1008">
        <f>('10.7 Facturacion'!I31*100000)/('10.6 Ventas'!I31*1000000)</f>
        <v>6.1532648627104196</v>
      </c>
      <c r="J31" s="1004"/>
      <c r="K31" s="1005">
        <f>('10.7 Facturacion'!K31*100000)/('10.6 Ventas'!K31*1000000)</f>
        <v>6.1532648627104196</v>
      </c>
      <c r="L31" s="5"/>
      <c r="N31" s="583">
        <v>19</v>
      </c>
      <c r="O31" s="572">
        <f t="shared" si="4"/>
        <v>16.466857230678755</v>
      </c>
      <c r="P31" s="572">
        <f t="shared" si="4"/>
        <v>6.2981424214598221</v>
      </c>
    </row>
    <row r="32" spans="2:16" ht="13.5" thickBot="1" x14ac:dyDescent="0.25">
      <c r="B32" s="31"/>
      <c r="C32" s="1021"/>
      <c r="D32" s="1022"/>
      <c r="E32" s="1023"/>
      <c r="F32" s="1024"/>
      <c r="G32" s="1022"/>
      <c r="H32" s="1025"/>
      <c r="I32" s="1026"/>
      <c r="J32" s="1027"/>
      <c r="K32" s="1023"/>
      <c r="M32">
        <f>+('10.7 Facturacion'!D31*100000)/('10.6 Ventas'!D31*1000000)</f>
        <v>16.466857230678755</v>
      </c>
    </row>
    <row r="33" spans="2:16" x14ac:dyDescent="0.2">
      <c r="B33" s="613" t="s">
        <v>356</v>
      </c>
      <c r="C33" s="1029">
        <f>(C31/C30)-1</f>
        <v>8.1594702557432619E-3</v>
      </c>
      <c r="D33" s="1028">
        <f t="shared" ref="D33:E33" si="5">(D31/D30)-1</f>
        <v>3.4488260025037576E-2</v>
      </c>
      <c r="E33" s="1030">
        <f t="shared" si="5"/>
        <v>-9.2700346642382581E-4</v>
      </c>
      <c r="F33" s="1029">
        <f>(F31/F30)-1</f>
        <v>2.6250351146710482E-2</v>
      </c>
      <c r="G33" s="1028">
        <f t="shared" ref="G33:H33" si="6">(G31/G30)-1</f>
        <v>3.4488260025037576E-2</v>
      </c>
      <c r="H33" s="1030">
        <f t="shared" si="6"/>
        <v>1.5648195324176051E-2</v>
      </c>
      <c r="I33" s="760">
        <f>(I31/I30)-1</f>
        <v>-4.3345427931075209E-3</v>
      </c>
      <c r="J33" s="1031"/>
      <c r="K33" s="1032">
        <f>(K31/K30)-1</f>
        <v>-4.3345427931075209E-3</v>
      </c>
    </row>
    <row r="34" spans="2:16" x14ac:dyDescent="0.2">
      <c r="B34" s="615" t="s">
        <v>357</v>
      </c>
      <c r="C34" s="1034">
        <f>((C31/C26)^(1/5))-1</f>
        <v>-7.1829625573316402E-3</v>
      </c>
      <c r="D34" s="1033">
        <f t="shared" ref="D34:E34" si="7">((D31/D26)^(1/5))-1</f>
        <v>4.1610472611930405E-2</v>
      </c>
      <c r="E34" s="1035">
        <f t="shared" si="7"/>
        <v>-3.3454905426714587E-2</v>
      </c>
      <c r="F34" s="1034">
        <f>((F31/F26)^(1/5))-1</f>
        <v>3.0428046812815301E-2</v>
      </c>
      <c r="G34" s="1033">
        <f t="shared" ref="G34:H34" si="8">((G31/G26)^(1/5))-1</f>
        <v>4.1610472611930405E-2</v>
      </c>
      <c r="H34" s="1035">
        <f t="shared" si="8"/>
        <v>-4.1816364349494761E-2</v>
      </c>
      <c r="I34" s="762">
        <f>((I31/I26)^(1/5))-1</f>
        <v>-3.1639092253737511E-2</v>
      </c>
      <c r="J34" s="1036"/>
      <c r="K34" s="1037">
        <f>((K31/K26)^(1/5))-1</f>
        <v>-3.1639092253737511E-2</v>
      </c>
    </row>
    <row r="35" spans="2:16" x14ac:dyDescent="0.2">
      <c r="B35" s="617" t="s">
        <v>358</v>
      </c>
      <c r="C35" s="1039">
        <f>(C31/C21)-1</f>
        <v>0.26007128494021381</v>
      </c>
      <c r="D35" s="1038">
        <f t="shared" ref="D35:E35" si="9">(D31/D21)-1</f>
        <v>0.61120546018135768</v>
      </c>
      <c r="E35" s="1040">
        <f t="shared" si="9"/>
        <v>0.10192528414499846</v>
      </c>
      <c r="F35" s="1039">
        <f>(F31/F21)-1</f>
        <v>0.54207409562658126</v>
      </c>
      <c r="G35" s="1038">
        <f t="shared" ref="G35:H35" si="10">(G31/G21)-1</f>
        <v>0.61120546018135768</v>
      </c>
      <c r="H35" s="1040">
        <f t="shared" si="10"/>
        <v>0.12988363811393211</v>
      </c>
      <c r="I35" s="1041">
        <f>(I31/I21)-1</f>
        <v>8.8349082170007698E-2</v>
      </c>
      <c r="J35" s="1042"/>
      <c r="K35" s="1043">
        <f>(K31/K21)-1</f>
        <v>8.8349082170007698E-2</v>
      </c>
    </row>
    <row r="36" spans="2:16" ht="13.5" thickBot="1" x14ac:dyDescent="0.25">
      <c r="B36" s="619" t="s">
        <v>359</v>
      </c>
      <c r="C36" s="1045">
        <f>((C31/C21)^(1/10))-1</f>
        <v>2.3386094219592923E-2</v>
      </c>
      <c r="D36" s="1044">
        <f t="shared" ref="D36:E36" si="11">((D31/D21)^(1/10))-1</f>
        <v>4.8854129670503177E-2</v>
      </c>
      <c r="E36" s="1046">
        <f t="shared" si="11"/>
        <v>9.7531457383406295E-3</v>
      </c>
      <c r="F36" s="1045">
        <f>((F31/F21)^(1/10))-1</f>
        <v>4.4264523704777847E-2</v>
      </c>
      <c r="G36" s="1044">
        <f t="shared" ref="G36:H36" si="12">((G31/G21)^(1/10))-1</f>
        <v>4.8854129670503177E-2</v>
      </c>
      <c r="H36" s="1046">
        <f t="shared" si="12"/>
        <v>1.2286329595863066E-2</v>
      </c>
      <c r="I36" s="1047">
        <f>((I31/I21)^(1/10))-1</f>
        <v>8.5021340320878824E-3</v>
      </c>
      <c r="J36" s="1048"/>
      <c r="K36" s="1049">
        <f>((K31/K21)^(1/10))-1</f>
        <v>8.5021340320878824E-3</v>
      </c>
    </row>
    <row r="37" spans="2:16" x14ac:dyDescent="0.2">
      <c r="B37" s="56"/>
      <c r="C37" s="57"/>
    </row>
    <row r="38" spans="2:16" x14ac:dyDescent="0.2">
      <c r="B38" s="21"/>
      <c r="O38" s="571" t="s">
        <v>10</v>
      </c>
      <c r="P38" s="571" t="s">
        <v>11</v>
      </c>
    </row>
    <row r="39" spans="2:16" x14ac:dyDescent="0.2">
      <c r="O39" s="572"/>
      <c r="P39" s="572"/>
    </row>
    <row r="40" spans="2:16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O40" s="572"/>
      <c r="P40" s="572"/>
    </row>
    <row r="41" spans="2:16" x14ac:dyDescent="0.2">
      <c r="N41" s="571">
        <v>95</v>
      </c>
      <c r="O41" s="572">
        <f>+F7</f>
        <v>8.9555606852646115</v>
      </c>
      <c r="P41" s="572">
        <f>+I7</f>
        <v>4.2445573090579085</v>
      </c>
    </row>
    <row r="42" spans="2:16" x14ac:dyDescent="0.2">
      <c r="N42" s="571">
        <v>96</v>
      </c>
      <c r="O42" s="572">
        <f t="shared" ref="O42:O62" si="13">+F8</f>
        <v>9.3774573213785253</v>
      </c>
      <c r="P42" s="572">
        <f t="shared" ref="P42:P62" si="14">+I8</f>
        <v>4.5448535324028105</v>
      </c>
    </row>
    <row r="43" spans="2:16" x14ac:dyDescent="0.2">
      <c r="N43" s="571">
        <v>97</v>
      </c>
      <c r="O43" s="572">
        <f t="shared" si="13"/>
        <v>9.1635885122824927</v>
      </c>
      <c r="P43" s="572">
        <f t="shared" si="14"/>
        <v>5.2121175208150961</v>
      </c>
    </row>
    <row r="44" spans="2:16" x14ac:dyDescent="0.2">
      <c r="N44" s="571">
        <v>98</v>
      </c>
      <c r="O44" s="572">
        <f t="shared" si="13"/>
        <v>7.9571609356886182</v>
      </c>
      <c r="P44" s="572">
        <f t="shared" si="14"/>
        <v>4.8931747664703975</v>
      </c>
    </row>
    <row r="45" spans="2:16" x14ac:dyDescent="0.2">
      <c r="N45" s="571">
        <v>99</v>
      </c>
      <c r="O45" s="572">
        <f t="shared" si="13"/>
        <v>7.6320210282889089</v>
      </c>
      <c r="P45" s="572">
        <f t="shared" si="14"/>
        <v>4.8616026075361827</v>
      </c>
    </row>
    <row r="46" spans="2:16" x14ac:dyDescent="0.2">
      <c r="N46" s="633" t="s">
        <v>190</v>
      </c>
      <c r="O46" s="572">
        <f t="shared" si="13"/>
        <v>8.0465527241033001</v>
      </c>
      <c r="P46" s="572">
        <f t="shared" si="14"/>
        <v>5.1647954842633439</v>
      </c>
    </row>
    <row r="47" spans="2:16" x14ac:dyDescent="0.2">
      <c r="N47" s="633" t="s">
        <v>191</v>
      </c>
      <c r="O47" s="572">
        <f t="shared" si="13"/>
        <v>8.1980760639170676</v>
      </c>
      <c r="P47" s="572">
        <f t="shared" si="14"/>
        <v>4.5317559390314024</v>
      </c>
    </row>
    <row r="48" spans="2:16" x14ac:dyDescent="0.2">
      <c r="N48" s="633" t="s">
        <v>192</v>
      </c>
      <c r="O48" s="572">
        <f t="shared" si="13"/>
        <v>7.758352080828165</v>
      </c>
      <c r="P48" s="572">
        <f t="shared" si="14"/>
        <v>4.5417296862557039</v>
      </c>
    </row>
    <row r="49" spans="14:16" x14ac:dyDescent="0.2">
      <c r="N49" s="633" t="s">
        <v>193</v>
      </c>
      <c r="O49" s="572">
        <f t="shared" si="13"/>
        <v>7.971753161907678</v>
      </c>
      <c r="P49" s="572">
        <f t="shared" si="14"/>
        <v>4.4701131993241967</v>
      </c>
    </row>
    <row r="50" spans="14:16" x14ac:dyDescent="0.2">
      <c r="N50" s="633" t="s">
        <v>194</v>
      </c>
      <c r="O50" s="572">
        <f t="shared" si="13"/>
        <v>8.2230231770089492</v>
      </c>
      <c r="P50" s="572">
        <f t="shared" si="14"/>
        <v>5.1762271900611463</v>
      </c>
    </row>
    <row r="51" spans="14:16" x14ac:dyDescent="0.2">
      <c r="N51" s="633" t="s">
        <v>195</v>
      </c>
      <c r="O51" s="572">
        <f t="shared" si="13"/>
        <v>8.8884914595819442</v>
      </c>
      <c r="P51" s="572">
        <f t="shared" si="14"/>
        <v>5.5416076080909722</v>
      </c>
    </row>
    <row r="52" spans="14:16" x14ac:dyDescent="0.2">
      <c r="N52" s="633" t="s">
        <v>196</v>
      </c>
      <c r="O52" s="572">
        <f t="shared" si="13"/>
        <v>8.7025840778489254</v>
      </c>
      <c r="P52" s="572">
        <f t="shared" si="14"/>
        <v>5.581447756240201</v>
      </c>
    </row>
    <row r="53" spans="14:16" x14ac:dyDescent="0.2">
      <c r="N53" s="633" t="s">
        <v>197</v>
      </c>
      <c r="O53" s="572">
        <f t="shared" si="13"/>
        <v>8.6843545064319656</v>
      </c>
      <c r="P53" s="572">
        <f t="shared" si="14"/>
        <v>5.4200951405339648</v>
      </c>
    </row>
    <row r="54" spans="14:16" x14ac:dyDescent="0.2">
      <c r="N54" s="633" t="s">
        <v>198</v>
      </c>
      <c r="O54" s="572">
        <f t="shared" si="13"/>
        <v>9.2102011270063144</v>
      </c>
      <c r="P54" s="572">
        <f t="shared" si="14"/>
        <v>6.703677483775019</v>
      </c>
    </row>
    <row r="55" spans="14:16" x14ac:dyDescent="0.2">
      <c r="N55" s="633" t="s">
        <v>199</v>
      </c>
      <c r="O55" s="572">
        <f t="shared" si="13"/>
        <v>9.8347670342884221</v>
      </c>
      <c r="P55" s="572">
        <f t="shared" si="14"/>
        <v>5.6537603270098931</v>
      </c>
    </row>
    <row r="56" spans="14:16" x14ac:dyDescent="0.2">
      <c r="N56" s="633" t="s">
        <v>200</v>
      </c>
      <c r="O56" s="572">
        <f t="shared" si="13"/>
        <v>10.118555763056673</v>
      </c>
      <c r="P56" s="572">
        <f t="shared" si="14"/>
        <v>5.4037809461686521</v>
      </c>
    </row>
    <row r="57" spans="14:16" x14ac:dyDescent="0.2">
      <c r="N57" s="633" t="s">
        <v>201</v>
      </c>
      <c r="O57" s="572">
        <f t="shared" si="13"/>
        <v>10.785887035062256</v>
      </c>
      <c r="P57" s="572">
        <f t="shared" si="14"/>
        <v>6.0487035318323148</v>
      </c>
    </row>
    <row r="58" spans="14:16" x14ac:dyDescent="0.2">
      <c r="N58" s="633" t="s">
        <v>202</v>
      </c>
      <c r="O58" s="572">
        <f t="shared" si="13"/>
        <v>11.813141103914758</v>
      </c>
      <c r="P58" s="572">
        <f t="shared" si="14"/>
        <v>6.4923946475231222</v>
      </c>
    </row>
    <row r="59" spans="14:16" x14ac:dyDescent="0.2">
      <c r="N59" s="633" t="s">
        <v>203</v>
      </c>
      <c r="O59" s="572">
        <f t="shared" si="13"/>
        <v>11.933029674417638</v>
      </c>
      <c r="P59" s="572">
        <f t="shared" si="14"/>
        <v>6.7174837111051282</v>
      </c>
    </row>
    <row r="60" spans="14:16" x14ac:dyDescent="0.2">
      <c r="N60" s="633" t="s">
        <v>255</v>
      </c>
      <c r="O60" s="572">
        <f t="shared" si="13"/>
        <v>13.055122860006383</v>
      </c>
      <c r="P60" s="572">
        <f t="shared" si="14"/>
        <v>7.2263562019802521</v>
      </c>
    </row>
    <row r="61" spans="14:16" x14ac:dyDescent="0.2">
      <c r="N61" s="633" t="s">
        <v>259</v>
      </c>
      <c r="O61" s="572">
        <f t="shared" si="13"/>
        <v>12.999798046403393</v>
      </c>
      <c r="P61" s="572">
        <f t="shared" si="14"/>
        <v>6.8623284465367806</v>
      </c>
    </row>
    <row r="62" spans="14:16" x14ac:dyDescent="0.2">
      <c r="N62" s="633" t="s">
        <v>271</v>
      </c>
      <c r="O62" s="572">
        <f t="shared" si="13"/>
        <v>13.579918199627539</v>
      </c>
      <c r="P62" s="572">
        <f t="shared" si="14"/>
        <v>6.550134616721996</v>
      </c>
    </row>
    <row r="63" spans="14:16" x14ac:dyDescent="0.2">
      <c r="N63" s="633" t="s">
        <v>332</v>
      </c>
      <c r="O63" s="572">
        <f>+F29</f>
        <v>13.997247654672359</v>
      </c>
      <c r="P63" s="572">
        <f>+I29</f>
        <v>6.1601746495097007</v>
      </c>
    </row>
    <row r="64" spans="14:16" x14ac:dyDescent="0.2">
      <c r="N64" s="633" t="s">
        <v>348</v>
      </c>
      <c r="O64" s="572">
        <f>+F30</f>
        <v>14.778011489255359</v>
      </c>
      <c r="P64" s="572">
        <f>+I30</f>
        <v>6.1800525650171405</v>
      </c>
    </row>
    <row r="65" spans="14:16" x14ac:dyDescent="0.2">
      <c r="N65" s="571">
        <v>19</v>
      </c>
      <c r="O65" s="572">
        <f>+F31</f>
        <v>15.165939480098434</v>
      </c>
      <c r="P65" s="572">
        <f>+I31</f>
        <v>6.1532648627104196</v>
      </c>
    </row>
  </sheetData>
  <mergeCells count="4">
    <mergeCell ref="B4:B5"/>
    <mergeCell ref="C4:E4"/>
    <mergeCell ref="F4:H4"/>
    <mergeCell ref="I4:K4"/>
  </mergeCells>
  <printOptions horizontalCentered="1" verticalCentered="1"/>
  <pageMargins left="0.66" right="0.64" top="1" bottom="1" header="0" footer="0"/>
  <pageSetup paperSize="9" scale="6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M64"/>
  <sheetViews>
    <sheetView view="pageBreakPreview" zoomScale="90" zoomScaleNormal="80" zoomScaleSheetLayoutView="90" workbookViewId="0">
      <selection activeCell="R33" sqref="R33"/>
    </sheetView>
  </sheetViews>
  <sheetFormatPr baseColWidth="10" defaultRowHeight="12.75" x14ac:dyDescent="0.2"/>
  <cols>
    <col min="1" max="1" width="2.85546875" customWidth="1"/>
    <col min="2" max="2" width="21.42578125" customWidth="1"/>
    <col min="3" max="3" width="15.7109375" customWidth="1"/>
    <col min="4" max="4" width="6.28515625" customWidth="1"/>
    <col min="5" max="5" width="15.7109375" customWidth="1"/>
    <col min="6" max="6" width="6.85546875" customWidth="1"/>
    <col min="7" max="7" width="15.7109375" customWidth="1"/>
    <col min="8" max="8" width="7" customWidth="1"/>
    <col min="9" max="9" width="15.7109375" customWidth="1"/>
    <col min="10" max="10" width="5.7109375" customWidth="1"/>
    <col min="11" max="11" width="20" customWidth="1"/>
    <col min="12" max="12" width="3.5703125" customWidth="1"/>
    <col min="13" max="13" width="10.7109375" customWidth="1"/>
  </cols>
  <sheetData>
    <row r="1" spans="1:13" ht="15.75" x14ac:dyDescent="0.25">
      <c r="A1" s="590" t="s">
        <v>214</v>
      </c>
      <c r="B1" s="356"/>
      <c r="C1" s="681"/>
      <c r="D1" s="681"/>
      <c r="E1" s="681"/>
      <c r="F1" s="681"/>
      <c r="G1" s="681"/>
      <c r="H1" s="681"/>
      <c r="I1" s="681"/>
      <c r="J1" s="681"/>
      <c r="K1" s="681"/>
      <c r="L1" s="681"/>
    </row>
    <row r="2" spans="1:13" ht="15" x14ac:dyDescent="0.25">
      <c r="A2" s="356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</row>
    <row r="3" spans="1:13" ht="13.5" thickBot="1" x14ac:dyDescent="0.2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3" x14ac:dyDescent="0.2">
      <c r="A4" s="356"/>
      <c r="B4" s="1298" t="s">
        <v>18</v>
      </c>
      <c r="C4" s="1296" t="s">
        <v>40</v>
      </c>
      <c r="D4" s="1296"/>
      <c r="E4" s="1296" t="s">
        <v>41</v>
      </c>
      <c r="F4" s="1296"/>
      <c r="G4" s="1296" t="s">
        <v>42</v>
      </c>
      <c r="H4" s="1296"/>
      <c r="I4" s="1292" t="s">
        <v>43</v>
      </c>
      <c r="J4" s="1292"/>
      <c r="K4" s="1294" t="s">
        <v>0</v>
      </c>
      <c r="L4" s="356"/>
      <c r="M4" s="13"/>
    </row>
    <row r="5" spans="1:13" ht="13.5" thickBot="1" x14ac:dyDescent="0.25">
      <c r="A5" s="356"/>
      <c r="B5" s="1299"/>
      <c r="C5" s="1297"/>
      <c r="D5" s="1297"/>
      <c r="E5" s="1297"/>
      <c r="F5" s="1297"/>
      <c r="G5" s="1297"/>
      <c r="H5" s="1297"/>
      <c r="I5" s="1293"/>
      <c r="J5" s="1293"/>
      <c r="K5" s="1295"/>
      <c r="L5" s="356"/>
      <c r="M5" s="13"/>
    </row>
    <row r="6" spans="1:13" x14ac:dyDescent="0.2">
      <c r="A6" s="356"/>
      <c r="B6" s="691"/>
      <c r="C6" s="494"/>
      <c r="D6" s="703"/>
      <c r="E6" s="692"/>
      <c r="F6" s="693"/>
      <c r="G6" s="692"/>
      <c r="H6" s="693"/>
      <c r="I6" s="692"/>
      <c r="J6" s="693"/>
      <c r="K6" s="694"/>
      <c r="L6" s="356"/>
      <c r="M6" s="13"/>
    </row>
    <row r="7" spans="1:13" x14ac:dyDescent="0.2">
      <c r="A7" s="356"/>
      <c r="B7" s="706">
        <v>1995</v>
      </c>
      <c r="C7" s="495">
        <v>3963.76629</v>
      </c>
      <c r="D7" s="707">
        <f t="shared" ref="D7:F22" si="0">+C7/$K7</f>
        <v>0.40244321387216575</v>
      </c>
      <c r="E7" s="708">
        <f>1375.844691+872.823814</f>
        <v>2248.6685050000001</v>
      </c>
      <c r="F7" s="709">
        <f t="shared" si="0"/>
        <v>0.22830846065985344</v>
      </c>
      <c r="G7" s="708">
        <v>3154.1445019999996</v>
      </c>
      <c r="H7" s="709">
        <f t="shared" ref="H7:H22" si="1">+G7/$K7</f>
        <v>0.32024190063993446</v>
      </c>
      <c r="I7" s="708">
        <v>482.67683</v>
      </c>
      <c r="J7" s="709">
        <f t="shared" ref="J7:J22" si="2">+I7/$K7</f>
        <v>4.9006424828046305E-2</v>
      </c>
      <c r="K7" s="710">
        <f t="shared" ref="K7:K17" si="3">C7+E7+G7+I7</f>
        <v>9849.2561270000006</v>
      </c>
      <c r="L7" s="356"/>
      <c r="M7" s="13"/>
    </row>
    <row r="8" spans="1:13" x14ac:dyDescent="0.2">
      <c r="A8" s="356"/>
      <c r="B8" s="691">
        <v>1996</v>
      </c>
      <c r="C8" s="494">
        <v>4305.2964009999996</v>
      </c>
      <c r="D8" s="704">
        <f t="shared" si="0"/>
        <v>0.41674407809981401</v>
      </c>
      <c r="E8" s="692">
        <f>1475.713399+875.27503</f>
        <v>2350.988429</v>
      </c>
      <c r="F8" s="693">
        <f t="shared" si="0"/>
        <v>0.2275709763535361</v>
      </c>
      <c r="G8" s="692">
        <v>3185.061631</v>
      </c>
      <c r="H8" s="693">
        <f t="shared" si="1"/>
        <v>0.30830759359422444</v>
      </c>
      <c r="I8" s="692">
        <v>489.44556999999998</v>
      </c>
      <c r="J8" s="693">
        <f t="shared" si="2"/>
        <v>4.7377351952425539E-2</v>
      </c>
      <c r="K8" s="694">
        <f t="shared" si="3"/>
        <v>10330.792030999999</v>
      </c>
      <c r="L8" s="356"/>
      <c r="M8" s="13"/>
    </row>
    <row r="9" spans="1:13" x14ac:dyDescent="0.2">
      <c r="A9" s="356"/>
      <c r="B9" s="706">
        <v>1997</v>
      </c>
      <c r="C9" s="495">
        <v>6058.1311180000002</v>
      </c>
      <c r="D9" s="707">
        <f t="shared" si="0"/>
        <v>0.48654878927923489</v>
      </c>
      <c r="E9" s="708">
        <v>2480.103368</v>
      </c>
      <c r="F9" s="709">
        <f t="shared" si="0"/>
        <v>0.19918540346583377</v>
      </c>
      <c r="G9" s="708">
        <f>3385523/1000</f>
        <v>3385.5230000000001</v>
      </c>
      <c r="H9" s="709">
        <f t="shared" si="1"/>
        <v>0.27190268494400111</v>
      </c>
      <c r="I9" s="708">
        <f>527473/1000</f>
        <v>527.47299999999996</v>
      </c>
      <c r="J9" s="709">
        <f t="shared" si="2"/>
        <v>4.2363122310930118E-2</v>
      </c>
      <c r="K9" s="710">
        <f t="shared" si="3"/>
        <v>12451.230486000002</v>
      </c>
      <c r="L9" s="356"/>
      <c r="M9" s="13"/>
    </row>
    <row r="10" spans="1:13" x14ac:dyDescent="0.2">
      <c r="A10" s="356"/>
      <c r="B10" s="691">
        <v>1998</v>
      </c>
      <c r="C10" s="494">
        <v>7473.8484369999996</v>
      </c>
      <c r="D10" s="704">
        <f t="shared" si="0"/>
        <v>0.53351684451584092</v>
      </c>
      <c r="E10" s="692">
        <v>2360.432139</v>
      </c>
      <c r="F10" s="693">
        <f t="shared" si="0"/>
        <v>0.1684982398436958</v>
      </c>
      <c r="G10" s="692">
        <v>3639.3</v>
      </c>
      <c r="H10" s="693">
        <f t="shared" si="1"/>
        <v>0.2597895673980069</v>
      </c>
      <c r="I10" s="692">
        <v>535.06510000000003</v>
      </c>
      <c r="J10" s="693">
        <f t="shared" si="2"/>
        <v>3.819534824245633E-2</v>
      </c>
      <c r="K10" s="694">
        <f t="shared" si="3"/>
        <v>14008.645676</v>
      </c>
      <c r="L10" s="356"/>
      <c r="M10" s="13"/>
    </row>
    <row r="11" spans="1:13" x14ac:dyDescent="0.2">
      <c r="A11" s="356"/>
      <c r="B11" s="706">
        <v>1999</v>
      </c>
      <c r="C11" s="495">
        <v>7855.6</v>
      </c>
      <c r="D11" s="707">
        <f t="shared" si="0"/>
        <v>0.53835347007586398</v>
      </c>
      <c r="E11" s="708">
        <v>2420.3000000000002</v>
      </c>
      <c r="F11" s="709">
        <f t="shared" si="0"/>
        <v>0.16586599414743797</v>
      </c>
      <c r="G11" s="708">
        <v>3772.7</v>
      </c>
      <c r="H11" s="709">
        <f t="shared" si="1"/>
        <v>0.25854755035327814</v>
      </c>
      <c r="I11" s="708">
        <v>543.29999999999995</v>
      </c>
      <c r="J11" s="709">
        <f t="shared" si="2"/>
        <v>3.7232985423419837E-2</v>
      </c>
      <c r="K11" s="710">
        <f t="shared" si="3"/>
        <v>14591.900000000001</v>
      </c>
      <c r="L11" s="356"/>
      <c r="M11" s="13"/>
    </row>
    <row r="12" spans="1:13" x14ac:dyDescent="0.2">
      <c r="A12" s="356"/>
      <c r="B12" s="691">
        <v>2000</v>
      </c>
      <c r="C12" s="494">
        <v>8375.0166531150007</v>
      </c>
      <c r="D12" s="704">
        <f t="shared" si="0"/>
        <v>0.53873886329622889</v>
      </c>
      <c r="E12" s="692">
        <v>2693.3458028849996</v>
      </c>
      <c r="F12" s="693">
        <f t="shared" si="0"/>
        <v>0.17325458759180443</v>
      </c>
      <c r="G12" s="692">
        <v>3936.241469000001</v>
      </c>
      <c r="H12" s="693">
        <f t="shared" si="1"/>
        <v>0.2532062134921011</v>
      </c>
      <c r="I12" s="692">
        <v>540.99195400000008</v>
      </c>
      <c r="J12" s="693">
        <f t="shared" si="2"/>
        <v>3.4800335619865633E-2</v>
      </c>
      <c r="K12" s="694">
        <f t="shared" si="3"/>
        <v>15545.595879</v>
      </c>
      <c r="L12" s="356"/>
      <c r="M12" s="13"/>
    </row>
    <row r="13" spans="1:13" x14ac:dyDescent="0.2">
      <c r="A13" s="356"/>
      <c r="B13" s="706">
        <v>2001</v>
      </c>
      <c r="C13" s="495">
        <v>9280.5600399650011</v>
      </c>
      <c r="D13" s="707">
        <f t="shared" si="0"/>
        <v>0.55810313446573678</v>
      </c>
      <c r="E13" s="708">
        <v>2762.2040670349998</v>
      </c>
      <c r="F13" s="709">
        <f t="shared" si="0"/>
        <v>0.16611009908967231</v>
      </c>
      <c r="G13" s="708">
        <v>4043.9688309999992</v>
      </c>
      <c r="H13" s="709">
        <f t="shared" si="1"/>
        <v>0.24319132364250642</v>
      </c>
      <c r="I13" s="708">
        <v>542.02161799999999</v>
      </c>
      <c r="J13" s="709">
        <f t="shared" si="2"/>
        <v>3.2595442802084498E-2</v>
      </c>
      <c r="K13" s="710">
        <f t="shared" si="3"/>
        <v>16628.754556</v>
      </c>
      <c r="L13" s="356"/>
      <c r="M13" s="13"/>
    </row>
    <row r="14" spans="1:13" x14ac:dyDescent="0.2">
      <c r="A14" s="356"/>
      <c r="B14" s="691">
        <v>2002</v>
      </c>
      <c r="C14" s="494">
        <v>9567.6060768480002</v>
      </c>
      <c r="D14" s="704">
        <f t="shared" si="0"/>
        <v>0.54344953051192524</v>
      </c>
      <c r="E14" s="692">
        <v>3013.1152699999998</v>
      </c>
      <c r="F14" s="693">
        <f t="shared" si="0"/>
        <v>0.17114794084407697</v>
      </c>
      <c r="G14" s="692">
        <v>4464.8754000000008</v>
      </c>
      <c r="H14" s="693">
        <f t="shared" si="1"/>
        <v>0.25360935854119337</v>
      </c>
      <c r="I14" s="692">
        <v>559.72912000000008</v>
      </c>
      <c r="J14" s="693">
        <f t="shared" si="2"/>
        <v>3.1793170102804358E-2</v>
      </c>
      <c r="K14" s="694">
        <f t="shared" si="3"/>
        <v>17605.325866848001</v>
      </c>
      <c r="L14" s="356"/>
      <c r="M14" s="13"/>
    </row>
    <row r="15" spans="1:13" x14ac:dyDescent="0.2">
      <c r="A15" s="356"/>
      <c r="B15" s="706">
        <v>2003</v>
      </c>
      <c r="C15" s="495">
        <v>10038.680803439998</v>
      </c>
      <c r="D15" s="707">
        <f t="shared" si="0"/>
        <v>0.54631279745128047</v>
      </c>
      <c r="E15" s="708">
        <v>3341.0911065599998</v>
      </c>
      <c r="F15" s="709">
        <f t="shared" si="0"/>
        <v>0.18182477007725067</v>
      </c>
      <c r="G15" s="708">
        <v>4425.3378269999994</v>
      </c>
      <c r="H15" s="709">
        <f t="shared" si="1"/>
        <v>0.24083031777510891</v>
      </c>
      <c r="I15" s="708">
        <v>570.22551099999998</v>
      </c>
      <c r="J15" s="709">
        <f t="shared" si="2"/>
        <v>3.1032114696359851E-2</v>
      </c>
      <c r="K15" s="710">
        <f t="shared" si="3"/>
        <v>18375.335247999999</v>
      </c>
      <c r="L15" s="356"/>
      <c r="M15" s="13"/>
    </row>
    <row r="16" spans="1:13" x14ac:dyDescent="0.2">
      <c r="A16" s="356"/>
      <c r="B16" s="691">
        <v>2004</v>
      </c>
      <c r="C16" s="494">
        <v>11074.758817645607</v>
      </c>
      <c r="D16" s="704">
        <f t="shared" si="0"/>
        <v>0.5638692299771525</v>
      </c>
      <c r="E16" s="692">
        <v>3243.4254471762724</v>
      </c>
      <c r="F16" s="693">
        <f t="shared" si="0"/>
        <v>0.16513838716502063</v>
      </c>
      <c r="G16" s="692">
        <v>4720.0091641781228</v>
      </c>
      <c r="H16" s="693">
        <f t="shared" si="1"/>
        <v>0.24031836509610105</v>
      </c>
      <c r="I16" s="692">
        <v>602.45768099999987</v>
      </c>
      <c r="J16" s="693">
        <f t="shared" si="2"/>
        <v>3.0674017761725812E-2</v>
      </c>
      <c r="K16" s="694">
        <f t="shared" si="3"/>
        <v>19640.651110000003</v>
      </c>
      <c r="L16" s="356"/>
      <c r="M16" s="13"/>
    </row>
    <row r="17" spans="1:13" x14ac:dyDescent="0.2">
      <c r="A17" s="356"/>
      <c r="B17" s="706">
        <v>2005</v>
      </c>
      <c r="C17" s="495">
        <v>11588.277687039452</v>
      </c>
      <c r="D17" s="707">
        <f t="shared" si="0"/>
        <v>0.55978278137692483</v>
      </c>
      <c r="E17" s="708">
        <v>3460.3428933112218</v>
      </c>
      <c r="F17" s="709">
        <f t="shared" si="0"/>
        <v>0.16715515641310993</v>
      </c>
      <c r="G17" s="708">
        <v>5020.7356088993247</v>
      </c>
      <c r="H17" s="709">
        <f t="shared" si="1"/>
        <v>0.2425314114496214</v>
      </c>
      <c r="I17" s="708">
        <v>632.02669097222224</v>
      </c>
      <c r="J17" s="709">
        <f t="shared" si="2"/>
        <v>3.053065076034368E-2</v>
      </c>
      <c r="K17" s="710">
        <f t="shared" si="3"/>
        <v>20701.382880222223</v>
      </c>
      <c r="L17" s="356"/>
      <c r="M17" s="13"/>
    </row>
    <row r="18" spans="1:13" x14ac:dyDescent="0.2">
      <c r="A18" s="356"/>
      <c r="B18" s="691">
        <v>2006</v>
      </c>
      <c r="C18" s="494">
        <v>12481.42189750605</v>
      </c>
      <c r="D18" s="704">
        <f t="shared" si="0"/>
        <v>0.55995458297906853</v>
      </c>
      <c r="E18" s="692">
        <v>3760.3484728262438</v>
      </c>
      <c r="F18" s="693">
        <f t="shared" si="0"/>
        <v>0.16870067995843707</v>
      </c>
      <c r="G18" s="692">
        <v>5404.368964667703</v>
      </c>
      <c r="H18" s="693">
        <f t="shared" si="1"/>
        <v>0.24245644404346256</v>
      </c>
      <c r="I18" s="692">
        <v>643.9218179999998</v>
      </c>
      <c r="J18" s="693">
        <f t="shared" si="2"/>
        <v>2.8888293019031713E-2</v>
      </c>
      <c r="K18" s="694">
        <f t="shared" ref="K18:K25" si="4">C18+E18+G18+I18</f>
        <v>22290.061152999999</v>
      </c>
      <c r="L18" s="356"/>
      <c r="M18" s="13"/>
    </row>
    <row r="19" spans="1:13" x14ac:dyDescent="0.2">
      <c r="A19" s="356"/>
      <c r="B19" s="706">
        <v>2007</v>
      </c>
      <c r="C19" s="495">
        <v>14165.658529274375</v>
      </c>
      <c r="D19" s="707">
        <f t="shared" si="0"/>
        <v>0.57300390783059563</v>
      </c>
      <c r="E19" s="708">
        <v>4023.5192699368326</v>
      </c>
      <c r="F19" s="709">
        <f t="shared" si="0"/>
        <v>0.16275221234092582</v>
      </c>
      <c r="G19" s="708">
        <v>5877.1253377887997</v>
      </c>
      <c r="H19" s="709">
        <f t="shared" si="1"/>
        <v>0.23773097300092091</v>
      </c>
      <c r="I19" s="708">
        <v>655.44541600000002</v>
      </c>
      <c r="J19" s="709">
        <f t="shared" si="2"/>
        <v>2.6512906827557761E-2</v>
      </c>
      <c r="K19" s="710">
        <f t="shared" si="4"/>
        <v>24721.748553000005</v>
      </c>
      <c r="L19" s="356"/>
      <c r="M19" s="13"/>
    </row>
    <row r="20" spans="1:13" x14ac:dyDescent="0.2">
      <c r="A20" s="356"/>
      <c r="B20" s="691">
        <v>2008</v>
      </c>
      <c r="C20" s="494">
        <v>15437.253867346535</v>
      </c>
      <c r="D20" s="704">
        <f t="shared" si="0"/>
        <v>0.57250469178131325</v>
      </c>
      <c r="E20" s="692">
        <v>4494.8960123117677</v>
      </c>
      <c r="F20" s="693">
        <f t="shared" si="0"/>
        <v>0.16669733349147337</v>
      </c>
      <c r="G20" s="692">
        <v>6357.3192643417178</v>
      </c>
      <c r="H20" s="693">
        <f t="shared" si="1"/>
        <v>0.2357670047576253</v>
      </c>
      <c r="I20" s="692">
        <v>674.94545200000016</v>
      </c>
      <c r="J20" s="693">
        <f t="shared" si="2"/>
        <v>2.5030969969588122E-2</v>
      </c>
      <c r="K20" s="694">
        <f t="shared" si="4"/>
        <v>26964.414596000021</v>
      </c>
      <c r="L20" s="356"/>
      <c r="M20" s="13"/>
    </row>
    <row r="21" spans="1:13" x14ac:dyDescent="0.2">
      <c r="A21" s="356"/>
      <c r="B21" s="706">
        <v>2009</v>
      </c>
      <c r="C21" s="495">
        <v>14942.95020594519</v>
      </c>
      <c r="D21" s="707">
        <f t="shared" si="0"/>
        <v>0.55166489529948282</v>
      </c>
      <c r="E21" s="708">
        <v>4815.0810091037401</v>
      </c>
      <c r="F21" s="709">
        <f t="shared" si="0"/>
        <v>0.1777635021288437</v>
      </c>
      <c r="G21" s="708">
        <v>6644.5992379510635</v>
      </c>
      <c r="H21" s="709">
        <f t="shared" si="1"/>
        <v>0.24530578583156273</v>
      </c>
      <c r="I21" s="708">
        <v>684.37532399999998</v>
      </c>
      <c r="J21" s="709">
        <f t="shared" si="2"/>
        <v>2.5265816740110636E-2</v>
      </c>
      <c r="K21" s="710">
        <f t="shared" si="4"/>
        <v>27087.005776999995</v>
      </c>
      <c r="L21" s="356"/>
      <c r="M21" s="13"/>
    </row>
    <row r="22" spans="1:13" x14ac:dyDescent="0.2">
      <c r="A22" s="356"/>
      <c r="B22" s="691">
        <v>2010</v>
      </c>
      <c r="C22" s="494">
        <v>16434.708415297537</v>
      </c>
      <c r="D22" s="704">
        <f t="shared" si="0"/>
        <v>0.55831670881377293</v>
      </c>
      <c r="E22" s="692">
        <v>5205.8243711895484</v>
      </c>
      <c r="F22" s="693">
        <f t="shared" si="0"/>
        <v>0.17685125017975306</v>
      </c>
      <c r="G22" s="692">
        <v>7086.2453335129212</v>
      </c>
      <c r="H22" s="693">
        <f t="shared" si="1"/>
        <v>0.24073254434932814</v>
      </c>
      <c r="I22" s="692">
        <v>709.39700400000015</v>
      </c>
      <c r="J22" s="693">
        <f t="shared" si="2"/>
        <v>2.4099496657145926E-2</v>
      </c>
      <c r="K22" s="694">
        <f t="shared" si="4"/>
        <v>29436.175124000005</v>
      </c>
      <c r="L22" s="356"/>
      <c r="M22" s="13"/>
    </row>
    <row r="23" spans="1:13" x14ac:dyDescent="0.2">
      <c r="A23" s="356"/>
      <c r="B23" s="706">
        <v>2011</v>
      </c>
      <c r="C23" s="495">
        <v>17841.423398594416</v>
      </c>
      <c r="D23" s="707">
        <f t="shared" ref="D23:D28" si="5">+C23/$K23</f>
        <v>0.56069222830975718</v>
      </c>
      <c r="E23" s="708">
        <v>5563.1179861174478</v>
      </c>
      <c r="F23" s="709">
        <f t="shared" ref="F23:F31" si="6">+E23/$K23</f>
        <v>0.17482893322468979</v>
      </c>
      <c r="G23" s="708">
        <v>7663.0902881815</v>
      </c>
      <c r="H23" s="709">
        <f t="shared" ref="H23:H31" si="7">+G23/$K23</f>
        <v>0.24082356398525034</v>
      </c>
      <c r="I23" s="708">
        <v>752.71913235773729</v>
      </c>
      <c r="J23" s="709">
        <f t="shared" ref="J23:J31" si="8">+I23/$K23</f>
        <v>2.3655274480302746E-2</v>
      </c>
      <c r="K23" s="710">
        <f t="shared" si="4"/>
        <v>31820.350805251099</v>
      </c>
      <c r="L23" s="356"/>
      <c r="M23" s="13"/>
    </row>
    <row r="24" spans="1:13" x14ac:dyDescent="0.2">
      <c r="A24" s="356"/>
      <c r="B24" s="691">
        <v>2012</v>
      </c>
      <c r="C24" s="494">
        <v>18690.461999999996</v>
      </c>
      <c r="D24" s="704">
        <f t="shared" si="5"/>
        <v>0.55546715059171381</v>
      </c>
      <c r="E24" s="692">
        <v>6061.7719999999999</v>
      </c>
      <c r="F24" s="693">
        <f t="shared" si="6"/>
        <v>0.18015152436449322</v>
      </c>
      <c r="G24" s="692">
        <v>8110.4380000000001</v>
      </c>
      <c r="H24" s="693">
        <f t="shared" si="7"/>
        <v>0.24103641129420764</v>
      </c>
      <c r="I24" s="692">
        <v>785.51400000000012</v>
      </c>
      <c r="J24" s="693">
        <f t="shared" si="8"/>
        <v>2.3344913749585194E-2</v>
      </c>
      <c r="K24" s="694">
        <f t="shared" si="4"/>
        <v>33648.186000000002</v>
      </c>
      <c r="L24" s="356"/>
      <c r="M24" s="13"/>
    </row>
    <row r="25" spans="1:13" x14ac:dyDescent="0.2">
      <c r="A25" s="356"/>
      <c r="B25" s="706">
        <v>2013</v>
      </c>
      <c r="C25" s="495">
        <v>19214.618997431797</v>
      </c>
      <c r="D25" s="707">
        <f t="shared" si="5"/>
        <v>0.53959018242131329</v>
      </c>
      <c r="E25" s="708">
        <v>6760.1032092000005</v>
      </c>
      <c r="F25" s="709">
        <f t="shared" si="6"/>
        <v>0.18983906599067507</v>
      </c>
      <c r="G25" s="708">
        <v>8757.8845147454758</v>
      </c>
      <c r="H25" s="709">
        <f t="shared" si="7"/>
        <v>0.24594130664614966</v>
      </c>
      <c r="I25" s="708">
        <v>877.0459806227276</v>
      </c>
      <c r="J25" s="709">
        <f t="shared" si="8"/>
        <v>2.4629444941861749E-2</v>
      </c>
      <c r="K25" s="710">
        <f t="shared" si="4"/>
        <v>35609.652702000007</v>
      </c>
      <c r="L25" s="356"/>
      <c r="M25" s="13"/>
    </row>
    <row r="26" spans="1:13" x14ac:dyDescent="0.2">
      <c r="A26" s="356"/>
      <c r="B26" s="691">
        <v>2014</v>
      </c>
      <c r="C26" s="494">
        <f>20737.1722222699+1.975936</f>
        <v>20739.148158269898</v>
      </c>
      <c r="D26" s="704">
        <f t="shared" si="5"/>
        <v>0.55559558667244568</v>
      </c>
      <c r="E26" s="692">
        <v>6802.8150635601469</v>
      </c>
      <c r="F26" s="693">
        <f t="shared" si="6"/>
        <v>0.1822453843050299</v>
      </c>
      <c r="G26" s="692">
        <v>8920.5096610756154</v>
      </c>
      <c r="H26" s="693">
        <f t="shared" si="7"/>
        <v>0.23897779025153471</v>
      </c>
      <c r="I26" s="692">
        <v>865.30411129276445</v>
      </c>
      <c r="J26" s="693">
        <f t="shared" si="8"/>
        <v>2.318123877098955E-2</v>
      </c>
      <c r="K26" s="694">
        <f t="shared" ref="K26:K31" si="9">C26+E26+G26+I26</f>
        <v>37327.77699419843</v>
      </c>
      <c r="L26" s="356"/>
      <c r="M26" s="13"/>
    </row>
    <row r="27" spans="1:13" x14ac:dyDescent="0.2">
      <c r="A27" s="356"/>
      <c r="B27" s="706">
        <v>2015</v>
      </c>
      <c r="C27" s="495">
        <v>22440.162</v>
      </c>
      <c r="D27" s="707">
        <f t="shared" si="5"/>
        <v>0.56418117138582446</v>
      </c>
      <c r="E27" s="708">
        <v>7201.7056000000002</v>
      </c>
      <c r="F27" s="709">
        <f t="shared" si="6"/>
        <v>0.18106227135899697</v>
      </c>
      <c r="G27" s="708">
        <v>9177.1515000000018</v>
      </c>
      <c r="H27" s="709">
        <f t="shared" si="7"/>
        <v>0.23072810629687865</v>
      </c>
      <c r="I27" s="708">
        <v>955.7254999999999</v>
      </c>
      <c r="J27" s="709">
        <f t="shared" si="8"/>
        <v>2.40284509582998E-2</v>
      </c>
      <c r="K27" s="710">
        <f t="shared" si="9"/>
        <v>39774.744600000005</v>
      </c>
      <c r="L27" s="356"/>
      <c r="M27" s="13"/>
    </row>
    <row r="28" spans="1:13" x14ac:dyDescent="0.2">
      <c r="A28" s="356"/>
      <c r="B28" s="695">
        <v>2016</v>
      </c>
      <c r="C28" s="494">
        <v>25483.049576663041</v>
      </c>
      <c r="D28" s="704">
        <f t="shared" si="5"/>
        <v>0.58761385614010808</v>
      </c>
      <c r="E28" s="692">
        <v>7558.3953055872307</v>
      </c>
      <c r="F28" s="693">
        <f t="shared" si="6"/>
        <v>0.17428910140389087</v>
      </c>
      <c r="G28" s="692">
        <v>9360.7744521665827</v>
      </c>
      <c r="H28" s="693">
        <f t="shared" si="7"/>
        <v>0.21585017741882431</v>
      </c>
      <c r="I28" s="692">
        <v>964.77977628310441</v>
      </c>
      <c r="J28" s="693">
        <f t="shared" si="8"/>
        <v>2.2246865037176711E-2</v>
      </c>
      <c r="K28" s="694">
        <f t="shared" si="9"/>
        <v>43366.999110699959</v>
      </c>
      <c r="L28" s="356"/>
      <c r="M28" s="13"/>
    </row>
    <row r="29" spans="1:13" x14ac:dyDescent="0.2">
      <c r="A29" s="356"/>
      <c r="B29" s="1088">
        <v>2017</v>
      </c>
      <c r="C29" s="495">
        <v>26022.125011752887</v>
      </c>
      <c r="D29" s="707">
        <f>+C29/$K29</f>
        <v>0.5884262996047811</v>
      </c>
      <c r="E29" s="708">
        <v>7624.0574832144757</v>
      </c>
      <c r="F29" s="709">
        <f t="shared" si="6"/>
        <v>0.17239929217140587</v>
      </c>
      <c r="G29" s="708">
        <v>9614.2816077234274</v>
      </c>
      <c r="H29" s="709">
        <f t="shared" si="7"/>
        <v>0.21740331149880671</v>
      </c>
      <c r="I29" s="708">
        <v>962.7887145791899</v>
      </c>
      <c r="J29" s="709">
        <f t="shared" si="8"/>
        <v>2.177109672500625E-2</v>
      </c>
      <c r="K29" s="710">
        <f t="shared" si="9"/>
        <v>44223.252817269982</v>
      </c>
      <c r="L29" s="356"/>
      <c r="M29" s="13"/>
    </row>
    <row r="30" spans="1:13" x14ac:dyDescent="0.2">
      <c r="A30" s="356"/>
      <c r="B30" s="695">
        <v>2018</v>
      </c>
      <c r="C30" s="494">
        <v>27133.007183966703</v>
      </c>
      <c r="D30" s="704">
        <f>+C30/$K30</f>
        <v>0.59154819668476022</v>
      </c>
      <c r="E30" s="692">
        <v>7797.5141442171644</v>
      </c>
      <c r="F30" s="693">
        <f>+E30/$K30</f>
        <v>0.16999978658322959</v>
      </c>
      <c r="G30" s="692">
        <v>9904.6664415354062</v>
      </c>
      <c r="H30" s="693">
        <f>+G30/$K30</f>
        <v>0.21593948405824151</v>
      </c>
      <c r="I30" s="692">
        <v>1032.6000724708028</v>
      </c>
      <c r="J30" s="693">
        <f>+I30/$K30</f>
        <v>2.2512532673768879E-2</v>
      </c>
      <c r="K30" s="694">
        <f t="shared" si="9"/>
        <v>45867.787842190068</v>
      </c>
      <c r="L30" s="356"/>
      <c r="M30" s="13"/>
    </row>
    <row r="31" spans="1:13" x14ac:dyDescent="0.2">
      <c r="A31" s="356"/>
      <c r="B31" s="1234">
        <v>2019</v>
      </c>
      <c r="C31" s="495">
        <v>28004.48880091</v>
      </c>
      <c r="D31" s="707">
        <f>+C31/$K31</f>
        <v>0.59055362758708296</v>
      </c>
      <c r="E31" s="708">
        <v>8122.9008766600236</v>
      </c>
      <c r="F31" s="709">
        <f t="shared" si="6"/>
        <v>0.17129427404816602</v>
      </c>
      <c r="G31" s="708">
        <v>10186.869619900006</v>
      </c>
      <c r="H31" s="709">
        <f t="shared" si="7"/>
        <v>0.21481887602222943</v>
      </c>
      <c r="I31" s="708">
        <v>1106.4786215099998</v>
      </c>
      <c r="J31" s="709">
        <f t="shared" si="8"/>
        <v>2.3333222342521467E-2</v>
      </c>
      <c r="K31" s="710">
        <f t="shared" si="9"/>
        <v>47420.737918980034</v>
      </c>
      <c r="L31" s="356"/>
      <c r="M31" s="13"/>
    </row>
    <row r="32" spans="1:13" ht="13.5" thickBot="1" x14ac:dyDescent="0.25">
      <c r="A32" s="356"/>
      <c r="B32" s="696"/>
      <c r="C32" s="702"/>
      <c r="D32" s="705"/>
      <c r="E32" s="697"/>
      <c r="F32" s="698"/>
      <c r="G32" s="697"/>
      <c r="H32" s="693"/>
      <c r="I32" s="697"/>
      <c r="J32" s="693"/>
      <c r="K32" s="699"/>
      <c r="L32" s="356"/>
      <c r="M32" s="13"/>
    </row>
    <row r="33" spans="1:13" x14ac:dyDescent="0.2">
      <c r="A33" s="356"/>
      <c r="B33" s="711" t="s">
        <v>356</v>
      </c>
      <c r="C33" s="713">
        <f>(C31/C30)-1</f>
        <v>3.211887318771911E-2</v>
      </c>
      <c r="D33" s="714"/>
      <c r="E33" s="715">
        <f>(E31/E30)-1</f>
        <v>4.1729546933130468E-2</v>
      </c>
      <c r="F33" s="716"/>
      <c r="G33" s="715">
        <f>(G31/G30)-1</f>
        <v>2.8491941655013786E-2</v>
      </c>
      <c r="H33" s="716"/>
      <c r="I33" s="715">
        <f>(I31/I30)-1</f>
        <v>7.15461396999717E-2</v>
      </c>
      <c r="J33" s="716"/>
      <c r="K33" s="717">
        <f>(K31/K30)-1</f>
        <v>3.3857095575067886E-2</v>
      </c>
      <c r="L33" s="684"/>
      <c r="M33" s="13"/>
    </row>
    <row r="34" spans="1:13" x14ac:dyDescent="0.2">
      <c r="A34" s="356"/>
      <c r="B34" s="700" t="s">
        <v>357</v>
      </c>
      <c r="C34" s="718">
        <f>((C31/C26)^(1/5))-1</f>
        <v>6.1909111131674077E-2</v>
      </c>
      <c r="D34" s="719"/>
      <c r="E34" s="720">
        <f>((E31/E26)^(1/5))-1</f>
        <v>3.6106737441553571E-2</v>
      </c>
      <c r="F34" s="721"/>
      <c r="G34" s="720">
        <f>((G31/G26)^(1/5))-1</f>
        <v>2.6904875915385373E-2</v>
      </c>
      <c r="H34" s="721"/>
      <c r="I34" s="720">
        <f>((I31/I26)^(1/5))-1</f>
        <v>5.0400336034909232E-2</v>
      </c>
      <c r="J34" s="721"/>
      <c r="K34" s="722">
        <f>((K31/K26)^(1/5))-1</f>
        <v>4.9028376621035763E-2</v>
      </c>
      <c r="L34" s="686"/>
      <c r="M34" s="335"/>
    </row>
    <row r="35" spans="1:13" x14ac:dyDescent="0.2">
      <c r="A35" s="356"/>
      <c r="B35" s="712" t="s">
        <v>358</v>
      </c>
      <c r="C35" s="723">
        <f>(C31/C21)-1</f>
        <v>0.87409369735891618</v>
      </c>
      <c r="D35" s="724"/>
      <c r="E35" s="725">
        <f>(E31/E21)-1</f>
        <v>0.68697076150998915</v>
      </c>
      <c r="F35" s="726"/>
      <c r="G35" s="725">
        <f>(G31/G21)-1</f>
        <v>0.53310519643036303</v>
      </c>
      <c r="H35" s="726"/>
      <c r="I35" s="725">
        <f>(I31/I21)-1</f>
        <v>0.6167716495722162</v>
      </c>
      <c r="J35" s="726"/>
      <c r="K35" s="727">
        <f>(K31/K21)-1</f>
        <v>0.75068216507140595</v>
      </c>
      <c r="L35" s="686"/>
      <c r="M35" s="13"/>
    </row>
    <row r="36" spans="1:13" ht="13.5" thickBot="1" x14ac:dyDescent="0.25">
      <c r="A36" s="356"/>
      <c r="B36" s="701" t="s">
        <v>359</v>
      </c>
      <c r="C36" s="728">
        <f>((C31/C21)^(1/10))-1</f>
        <v>6.4827184709045582E-2</v>
      </c>
      <c r="D36" s="729"/>
      <c r="E36" s="730">
        <f>((E31/E21)^(1/10))-1</f>
        <v>5.3684898009061399E-2</v>
      </c>
      <c r="F36" s="731"/>
      <c r="G36" s="730">
        <f>((G31/G21)^(1/10))-1</f>
        <v>4.3655570676548461E-2</v>
      </c>
      <c r="H36" s="731"/>
      <c r="I36" s="730">
        <f>((I31/I21)^(1/10))-1</f>
        <v>4.9215912492125424E-2</v>
      </c>
      <c r="J36" s="731"/>
      <c r="K36" s="732">
        <f>((K31/K21)^(1/10))-1</f>
        <v>5.759826759330533E-2</v>
      </c>
      <c r="L36" s="686"/>
      <c r="M36" s="13"/>
    </row>
    <row r="37" spans="1:13" x14ac:dyDescent="0.2">
      <c r="A37" s="356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688"/>
      <c r="M37" s="13"/>
    </row>
    <row r="38" spans="1:13" ht="15.75" x14ac:dyDescent="0.25">
      <c r="A38" s="356"/>
      <c r="B38" s="356"/>
      <c r="C38" s="356"/>
      <c r="D38" s="689"/>
      <c r="E38" s="689"/>
      <c r="F38" s="689"/>
      <c r="G38" s="689"/>
      <c r="H38" s="689"/>
      <c r="I38" s="690"/>
      <c r="J38" s="690"/>
      <c r="K38" s="688"/>
      <c r="L38" s="356"/>
      <c r="M38" s="13"/>
    </row>
    <row r="39" spans="1:13" x14ac:dyDescent="0.2">
      <c r="A39" s="356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14"/>
    </row>
    <row r="40" spans="1:13" x14ac:dyDescent="0.2">
      <c r="A40" s="35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</row>
    <row r="41" spans="1:13" x14ac:dyDescent="0.2">
      <c r="A41" s="356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</row>
    <row r="42" spans="1:13" x14ac:dyDescent="0.2">
      <c r="A42" s="356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</row>
    <row r="43" spans="1:13" x14ac:dyDescent="0.2">
      <c r="A43" s="356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</row>
    <row r="44" spans="1:13" x14ac:dyDescent="0.2">
      <c r="A44" s="356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</row>
    <row r="45" spans="1:13" x14ac:dyDescent="0.2">
      <c r="A45" s="356"/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</row>
    <row r="46" spans="1:13" x14ac:dyDescent="0.2">
      <c r="A46" s="356"/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</row>
    <row r="47" spans="1:13" x14ac:dyDescent="0.2">
      <c r="A47" s="356"/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</row>
    <row r="48" spans="1:13" x14ac:dyDescent="0.2">
      <c r="A48" s="356"/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</row>
    <row r="49" spans="1:12" x14ac:dyDescent="0.2">
      <c r="A49" s="356"/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</row>
    <row r="50" spans="1:12" x14ac:dyDescent="0.2">
      <c r="A50" s="356"/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</row>
    <row r="51" spans="1:12" x14ac:dyDescent="0.2">
      <c r="A51" s="356"/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</row>
    <row r="52" spans="1:12" x14ac:dyDescent="0.2">
      <c r="A52" s="356"/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</row>
    <row r="53" spans="1:12" x14ac:dyDescent="0.2">
      <c r="A53" s="356"/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</row>
    <row r="54" spans="1:12" x14ac:dyDescent="0.2">
      <c r="A54" s="356"/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</row>
    <row r="55" spans="1:12" x14ac:dyDescent="0.2">
      <c r="A55" s="356"/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</row>
    <row r="56" spans="1:12" x14ac:dyDescent="0.2">
      <c r="A56" s="356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</row>
    <row r="57" spans="1:12" x14ac:dyDescent="0.2">
      <c r="A57" s="356"/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</row>
    <row r="58" spans="1:12" x14ac:dyDescent="0.2">
      <c r="A58" s="356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</row>
    <row r="59" spans="1:12" x14ac:dyDescent="0.2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</row>
    <row r="60" spans="1:12" x14ac:dyDescent="0.2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</row>
    <row r="61" spans="1:12" x14ac:dyDescent="0.2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</row>
    <row r="62" spans="1:12" x14ac:dyDescent="0.2">
      <c r="A62" s="356"/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</row>
    <row r="63" spans="1:12" x14ac:dyDescent="0.2">
      <c r="A63" s="356"/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</row>
    <row r="64" spans="1:12" x14ac:dyDescent="0.2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</row>
  </sheetData>
  <mergeCells count="6">
    <mergeCell ref="I4:J5"/>
    <mergeCell ref="K4:K5"/>
    <mergeCell ref="C4:D5"/>
    <mergeCell ref="B4:B5"/>
    <mergeCell ref="E4:F5"/>
    <mergeCell ref="G4:H5"/>
  </mergeCells>
  <phoneticPr fontId="0" type="noConversion"/>
  <pageMargins left="0.9" right="0.21" top="0.94" bottom="1" header="0" footer="0"/>
  <pageSetup paperSize="9" scale="68" orientation="portrait" r:id="rId1"/>
  <headerFooter alignWithMargins="0"/>
  <ignoredErrors>
    <ignoredError sqref="I9 G9 E7:E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19</vt:i4>
      </vt:variant>
    </vt:vector>
  </HeadingPairs>
  <TitlesOfParts>
    <vt:vector size="38" baseType="lpstr">
      <vt:lpstr>10.1 P Inst</vt:lpstr>
      <vt:lpstr>10.2 Efect</vt:lpstr>
      <vt:lpstr>10.3 Incre PI</vt:lpstr>
      <vt:lpstr>10.4 Prod</vt:lpstr>
      <vt:lpstr>10.5 Lineas</vt:lpstr>
      <vt:lpstr>10.6 Ventas</vt:lpstr>
      <vt:lpstr>10.7 Facturacion</vt:lpstr>
      <vt:lpstr>10.8 Precio medio</vt:lpstr>
      <vt:lpstr>10.9 Ventas-CIIU</vt:lpstr>
      <vt:lpstr>10.10 Fact-CIIU</vt:lpstr>
      <vt:lpstr>10.11  Prec med- CIIU</vt:lpstr>
      <vt:lpstr>10.12 Consumo</vt:lpstr>
      <vt:lpstr>10.13 Clientes</vt:lpstr>
      <vt:lpstr>10.15 Perd y MD</vt:lpstr>
      <vt:lpstr>10.17.1Inversiones</vt:lpstr>
      <vt:lpstr>10.17.2 Inversion Privada </vt:lpstr>
      <vt:lpstr>10.17.3 y 4 Publica y Gub. </vt:lpstr>
      <vt:lpstr>10.17.5 Evo.Graficos </vt:lpstr>
      <vt:lpstr>10.18 CMg</vt:lpstr>
      <vt:lpstr>'10.1 P Inst'!Área_de_impresión</vt:lpstr>
      <vt:lpstr>'10.10 Fact-CIIU'!Área_de_impresión</vt:lpstr>
      <vt:lpstr>'10.11  Prec med- CIIU'!Área_de_impresión</vt:lpstr>
      <vt:lpstr>'10.12 Consumo'!Área_de_impresión</vt:lpstr>
      <vt:lpstr>'10.13 Clientes'!Área_de_impresión</vt:lpstr>
      <vt:lpstr>'10.15 Perd y MD'!Área_de_impresión</vt:lpstr>
      <vt:lpstr>'10.17.1Inversiones'!Área_de_impresión</vt:lpstr>
      <vt:lpstr>'10.17.2 Inversion Privada '!Área_de_impresión</vt:lpstr>
      <vt:lpstr>'10.17.3 y 4 Publica y Gub. '!Área_de_impresión</vt:lpstr>
      <vt:lpstr>'10.17.5 Evo.Graficos '!Área_de_impresión</vt:lpstr>
      <vt:lpstr>'10.18 CMg'!Área_de_impresión</vt:lpstr>
      <vt:lpstr>'10.2 Efect'!Área_de_impresión</vt:lpstr>
      <vt:lpstr>'10.3 Incre PI'!Área_de_impresión</vt:lpstr>
      <vt:lpstr>'10.4 Prod'!Área_de_impresión</vt:lpstr>
      <vt:lpstr>'10.5 Lineas'!Área_de_impresión</vt:lpstr>
      <vt:lpstr>'10.6 Ventas'!Área_de_impresión</vt:lpstr>
      <vt:lpstr>'10.7 Facturacion'!Área_de_impresión</vt:lpstr>
      <vt:lpstr>'10.8 Precio medio'!Área_de_impresión</vt:lpstr>
      <vt:lpstr>'10.9 Ventas-CIIU'!Área_de_impresión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Evoluciones 2002</dc:title>
  <dc:creator>Neyra Vilca, Anival Wenceslao</dc:creator>
  <dc:description>Contiene Pot.; Prod.; Incre. y Crec. Med; Vent. y Núm.Clien.</dc:description>
  <cp:lastModifiedBy>Neyra Vilca, Anival Wenceslao</cp:lastModifiedBy>
  <cp:lastPrinted>2019-12-20T15:50:40Z</cp:lastPrinted>
  <dcterms:created xsi:type="dcterms:W3CDTF">2001-10-29T20:06:41Z</dcterms:created>
  <dcterms:modified xsi:type="dcterms:W3CDTF">2021-07-20T14:02:20Z</dcterms:modified>
</cp:coreProperties>
</file>